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reizeit\Bilder, Fotos, Clips\2023-05-17 bis 21 Krakau mit Juliet, Julia, Daniel &amp; Anja\"/>
    </mc:Choice>
  </mc:AlternateContent>
  <bookViews>
    <workbookView xWindow="0" yWindow="0" windowWidth="38400" windowHeight="17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F67" i="1"/>
  <c r="M33" i="1"/>
  <c r="N33" i="1"/>
  <c r="O33" i="1"/>
  <c r="P33" i="1"/>
  <c r="S33" i="1"/>
  <c r="R33" i="1"/>
  <c r="I53" i="1"/>
  <c r="G53" i="1"/>
  <c r="E53" i="1"/>
  <c r="F59" i="1"/>
  <c r="E59" i="1"/>
  <c r="F57" i="1"/>
  <c r="E57" i="1"/>
  <c r="F54" i="1"/>
  <c r="E54" i="1"/>
  <c r="F49" i="1"/>
  <c r="F48" i="1"/>
  <c r="E49" i="1"/>
  <c r="E48" i="1"/>
  <c r="F46" i="1"/>
  <c r="F45" i="1"/>
  <c r="E46" i="1"/>
  <c r="E45" i="1"/>
  <c r="J29" i="1"/>
  <c r="I29" i="1"/>
  <c r="H29" i="1"/>
  <c r="G29" i="1"/>
  <c r="F29" i="1"/>
  <c r="E29" i="1"/>
  <c r="F41" i="1"/>
  <c r="F35" i="1"/>
  <c r="F33" i="1"/>
  <c r="F28" i="1"/>
  <c r="F27" i="1"/>
  <c r="E41" i="1"/>
  <c r="E35" i="1"/>
  <c r="E33" i="1"/>
  <c r="E28" i="1"/>
  <c r="E27" i="1"/>
  <c r="F24" i="1"/>
  <c r="E24" i="1"/>
  <c r="F20" i="1"/>
  <c r="E20" i="1"/>
  <c r="F19" i="1"/>
  <c r="E19" i="1"/>
  <c r="Q25" i="1"/>
  <c r="P10" i="1"/>
  <c r="O13" i="1" s="1"/>
  <c r="J62" i="1"/>
  <c r="D62" i="1" s="1"/>
  <c r="J55" i="1"/>
  <c r="H55" i="1"/>
  <c r="G55" i="1"/>
  <c r="D55" i="1"/>
  <c r="F55" i="1" s="1"/>
  <c r="C55" i="1"/>
  <c r="I55" i="1" s="1"/>
  <c r="D42" i="1"/>
  <c r="J42" i="1" s="1"/>
  <c r="C42" i="1"/>
  <c r="I42" i="1" s="1"/>
  <c r="D25" i="1"/>
  <c r="J25" i="1" s="1"/>
  <c r="C25" i="1"/>
  <c r="I25" i="1" s="1"/>
  <c r="D11" i="1"/>
  <c r="H11" i="1" s="1"/>
  <c r="C11" i="1"/>
  <c r="I11" i="1" s="1"/>
  <c r="D16" i="1"/>
  <c r="J32" i="1"/>
  <c r="I32" i="1"/>
  <c r="H32" i="1"/>
  <c r="G32" i="1"/>
  <c r="F32" i="1"/>
  <c r="E32" i="1"/>
  <c r="E31" i="1"/>
  <c r="F31" i="1"/>
  <c r="G31" i="1"/>
  <c r="H31" i="1"/>
  <c r="I31" i="1"/>
  <c r="J31" i="1"/>
  <c r="J16" i="1"/>
  <c r="I16" i="1"/>
  <c r="H16" i="1"/>
  <c r="G16" i="1"/>
  <c r="E16" i="1"/>
  <c r="J21" i="1"/>
  <c r="I21" i="1"/>
  <c r="H21" i="1"/>
  <c r="G21" i="1"/>
  <c r="F21" i="1"/>
  <c r="E21" i="1"/>
  <c r="J23" i="1"/>
  <c r="I23" i="1"/>
  <c r="H23" i="1"/>
  <c r="G23" i="1"/>
  <c r="F23" i="1"/>
  <c r="E23" i="1"/>
  <c r="J18" i="1"/>
  <c r="I18" i="1"/>
  <c r="H18" i="1"/>
  <c r="G18" i="1"/>
  <c r="F18" i="1"/>
  <c r="E18" i="1"/>
  <c r="J58" i="1"/>
  <c r="I58" i="1"/>
  <c r="H58" i="1"/>
  <c r="G58" i="1"/>
  <c r="F58" i="1"/>
  <c r="E58" i="1"/>
  <c r="J51" i="1"/>
  <c r="I51" i="1"/>
  <c r="H51" i="1"/>
  <c r="G51" i="1"/>
  <c r="F51" i="1"/>
  <c r="E51" i="1"/>
  <c r="J44" i="1"/>
  <c r="I44" i="1"/>
  <c r="H44" i="1"/>
  <c r="G44" i="1"/>
  <c r="F44" i="1"/>
  <c r="E44" i="1"/>
  <c r="J40" i="1"/>
  <c r="H40" i="1"/>
  <c r="F40" i="1"/>
  <c r="J38" i="1"/>
  <c r="H38" i="1"/>
  <c r="F38" i="1"/>
  <c r="J36" i="1"/>
  <c r="H36" i="1"/>
  <c r="F36" i="1"/>
  <c r="J7" i="1"/>
  <c r="H7" i="1"/>
  <c r="F7" i="1"/>
  <c r="J15" i="1"/>
  <c r="H15" i="1"/>
  <c r="F15" i="1"/>
  <c r="J60" i="1"/>
  <c r="H60" i="1"/>
  <c r="F60" i="1"/>
  <c r="C53" i="1"/>
  <c r="F52" i="1"/>
  <c r="E52" i="1"/>
  <c r="G52" i="1"/>
  <c r="H52" i="1" s="1"/>
  <c r="I52" i="1"/>
  <c r="J52" i="1" s="1"/>
  <c r="E50" i="1"/>
  <c r="J47" i="1"/>
  <c r="H47" i="1"/>
  <c r="F47" i="1"/>
  <c r="C46" i="1"/>
  <c r="D46" i="1" s="1"/>
  <c r="I40" i="1"/>
  <c r="G40" i="1"/>
  <c r="E40" i="1"/>
  <c r="J39" i="1"/>
  <c r="H39" i="1"/>
  <c r="F39" i="1"/>
  <c r="I39" i="1"/>
  <c r="G39" i="1"/>
  <c r="E39" i="1"/>
  <c r="I38" i="1"/>
  <c r="G38" i="1"/>
  <c r="E38" i="1"/>
  <c r="H37" i="1"/>
  <c r="G37" i="1"/>
  <c r="I37" i="1"/>
  <c r="J37" i="1" s="1"/>
  <c r="E37" i="1"/>
  <c r="F37" i="1" s="1"/>
  <c r="I36" i="1"/>
  <c r="G36" i="1"/>
  <c r="E36" i="1"/>
  <c r="J34" i="1"/>
  <c r="H34" i="1"/>
  <c r="F34" i="1"/>
  <c r="I34" i="1"/>
  <c r="G34" i="1"/>
  <c r="E34" i="1"/>
  <c r="C35" i="1"/>
  <c r="D35" i="1" s="1"/>
  <c r="I30" i="1"/>
  <c r="G30" i="1"/>
  <c r="E30" i="1"/>
  <c r="C24" i="1"/>
  <c r="J22" i="1"/>
  <c r="H22" i="1"/>
  <c r="F22" i="1"/>
  <c r="I22" i="1"/>
  <c r="G22" i="1"/>
  <c r="E22" i="1"/>
  <c r="C19" i="1"/>
  <c r="D19" i="1" s="1"/>
  <c r="I17" i="1"/>
  <c r="G17" i="1"/>
  <c r="E17" i="1"/>
  <c r="I15" i="1"/>
  <c r="G15" i="1"/>
  <c r="E15" i="1"/>
  <c r="E14" i="1"/>
  <c r="C13" i="1"/>
  <c r="E13" i="1" s="1"/>
  <c r="E10" i="1"/>
  <c r="I9" i="1"/>
  <c r="G9" i="1"/>
  <c r="E9" i="1"/>
  <c r="R4" i="1"/>
  <c r="D48" i="1" s="1"/>
  <c r="H8" i="1"/>
  <c r="I8" i="1"/>
  <c r="J8" i="1" s="1"/>
  <c r="E8" i="1"/>
  <c r="F8" i="1" s="1"/>
  <c r="G8" i="1"/>
  <c r="I7" i="1"/>
  <c r="I65" i="1" s="1"/>
  <c r="G7" i="1"/>
  <c r="E7" i="1"/>
  <c r="J5" i="1"/>
  <c r="H5" i="1"/>
  <c r="F5" i="1"/>
  <c r="Q33" i="1" l="1"/>
  <c r="T33" i="1" s="1"/>
  <c r="G65" i="1"/>
  <c r="F16" i="1"/>
  <c r="C65" i="1"/>
  <c r="D49" i="1"/>
  <c r="J11" i="1"/>
  <c r="F42" i="1"/>
  <c r="D50" i="1"/>
  <c r="F50" i="1" s="1"/>
  <c r="F25" i="1"/>
  <c r="D33" i="1"/>
  <c r="H25" i="1"/>
  <c r="D13" i="1"/>
  <c r="F13" i="1" s="1"/>
  <c r="D30" i="1"/>
  <c r="G42" i="1"/>
  <c r="D20" i="1"/>
  <c r="D14" i="1"/>
  <c r="F14" i="1" s="1"/>
  <c r="H42" i="1"/>
  <c r="D9" i="1"/>
  <c r="D41" i="1"/>
  <c r="D45" i="1"/>
  <c r="E11" i="1"/>
  <c r="F11" i="1"/>
  <c r="D54" i="1"/>
  <c r="G11" i="1"/>
  <c r="D17" i="1"/>
  <c r="D57" i="1"/>
  <c r="D24" i="1"/>
  <c r="D59" i="1"/>
  <c r="D27" i="1"/>
  <c r="D10" i="1"/>
  <c r="D28" i="1"/>
  <c r="E55" i="1"/>
  <c r="E42" i="1"/>
  <c r="E25" i="1"/>
  <c r="E65" i="1" s="1"/>
  <c r="G25" i="1"/>
  <c r="F9" i="1" l="1"/>
  <c r="D65" i="1"/>
  <c r="F10" i="1"/>
  <c r="J9" i="1"/>
  <c r="H9" i="1"/>
  <c r="J30" i="1"/>
  <c r="H30" i="1"/>
  <c r="F30" i="1"/>
  <c r="F17" i="1"/>
  <c r="J17" i="1"/>
  <c r="H17" i="1"/>
  <c r="F65" i="1" l="1"/>
  <c r="H65" i="1"/>
  <c r="Q24" i="1"/>
  <c r="J65" i="1"/>
  <c r="Q27" i="1"/>
</calcChain>
</file>

<file path=xl/comments1.xml><?xml version="1.0" encoding="utf-8"?>
<comments xmlns="http://schemas.openxmlformats.org/spreadsheetml/2006/main">
  <authors>
    <author>Christoph</author>
  </authors>
  <commentList>
    <comment ref="B47" authorId="0" shapeId="0">
      <text>
        <r>
          <rPr>
            <b/>
            <sz val="9"/>
            <color indexed="81"/>
            <rFont val="Segoe UI"/>
            <family val="2"/>
          </rPr>
          <t>Durch Daniel in EUR bezahlt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53" authorId="0" shapeId="0">
      <text>
        <r>
          <rPr>
            <b/>
            <sz val="9"/>
            <color indexed="81"/>
            <rFont val="Segoe UI"/>
            <family val="2"/>
          </rPr>
          <t>Von allen in EUR bezahlt</t>
        </r>
        <r>
          <rPr>
            <sz val="9"/>
            <color indexed="81"/>
            <rFont val="Segoe UI"/>
            <family val="2"/>
          </rPr>
          <t xml:space="preserve">
Von den 25 EUR J&amp;C hat Daniel 5 EUR ausgelegt</t>
        </r>
      </text>
    </comment>
    <comment ref="B62" authorId="0" shapeId="0">
      <text>
        <r>
          <rPr>
            <b/>
            <sz val="9"/>
            <color indexed="81"/>
            <rFont val="Segoe UI"/>
            <family val="2"/>
          </rPr>
          <t>bereits im Vorfeld von allen bezahlt worden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<sst xmlns="http://schemas.openxmlformats.org/spreadsheetml/2006/main" count="151" uniqueCount="102">
  <si>
    <t>Datum</t>
  </si>
  <si>
    <t>Posten</t>
  </si>
  <si>
    <t>Ausgaben Julia</t>
  </si>
  <si>
    <t>U-Bahn-Fahrkarte (4er-Ticket) U2 Ziegelstein-Flughafen</t>
  </si>
  <si>
    <t>PLN</t>
  </si>
  <si>
    <t>EUR</t>
  </si>
  <si>
    <t>Bargeldabhebung</t>
  </si>
  <si>
    <t>--</t>
  </si>
  <si>
    <t>Ausgaben insgesamt</t>
  </si>
  <si>
    <t>Flughafen Nürnberg Kaffee J&amp;C</t>
  </si>
  <si>
    <t>Ausgaben J&amp;C</t>
  </si>
  <si>
    <t>Ausgaben A&amp;D</t>
  </si>
  <si>
    <t>Bus-/Tram Flughafen Krakau - Starowislna (60 min)</t>
  </si>
  <si>
    <t>Abendessen U Babci Maliny Krakau</t>
  </si>
  <si>
    <t>Abendessen U Babci Maliny Krakau zusätzliche Trinkgeld</t>
  </si>
  <si>
    <t>Frühstück Bussola Coffee Krakau J&amp;C</t>
  </si>
  <si>
    <t>Supermarkt 2 Joghurtdrinks J&amp;C</t>
  </si>
  <si>
    <t>Bus-/Tram Starowislna - Wieliczka Kapalnia Sol (60 min)</t>
  </si>
  <si>
    <t>Salzmine Wieliczka incl. Turm, Tourist Route</t>
  </si>
  <si>
    <t>Salzmine Wieliczka Trinkgeld Führer</t>
  </si>
  <si>
    <t>Mittagessen Milchbar Mleczny Mila J&amp;C</t>
  </si>
  <si>
    <t>Supermarkt Kakao J&amp;C</t>
  </si>
  <si>
    <t>Bus-/Tram Wieliczka Kopalnia Sol - Bosakow (60 min)</t>
  </si>
  <si>
    <t>Bus-/Tram Bosakow - Park Wodny (20 min)</t>
  </si>
  <si>
    <t>Aquapark Park Wodny Tageskarte incl. Sauna</t>
  </si>
  <si>
    <t>Bus-/Tram Park Wodny - Starowislna (60 min)</t>
  </si>
  <si>
    <t>Frühstück Französische Bäckerei Krakau J&amp;C</t>
  </si>
  <si>
    <t>Frühstück Supermarkt Krakau J&amp;C</t>
  </si>
  <si>
    <t>Abendessen Pod Wawelem Krakau J&amp;C</t>
  </si>
  <si>
    <t>Supermarkt Krakau Wasser J&amp;C</t>
  </si>
  <si>
    <t>Bus-/Tram Starowislna - Bahnhof Krakau (20 min)</t>
  </si>
  <si>
    <t>Gepäckaufbewahrung Bahnhof Krakau (4 Gepäckstücke)</t>
  </si>
  <si>
    <t>Supermarkt Getränk und Donut J&amp;C</t>
  </si>
  <si>
    <t>Auschwitz Besuch Konzentrationslager incl. Guide</t>
  </si>
  <si>
    <t>Zug Krakau Bahnhof - Oswiecim Bahnhof</t>
  </si>
  <si>
    <t>Bus Oswiecim - Krakau Busbahnhof</t>
  </si>
  <si>
    <t>Mittagessen Pizzeria Oswiecim J&amp;C</t>
  </si>
  <si>
    <t>Bus-/Tram Bahnhof Krakau - Stradom (20 min)</t>
  </si>
  <si>
    <t>Abendessen Pierogi Mr Vincent</t>
  </si>
  <si>
    <t>Bus-/Tram Bahnhof Stradom - Salwator (20 min)</t>
  </si>
  <si>
    <t>Gamescape Krakau Escape Room "Protocol CHIMERA"</t>
  </si>
  <si>
    <t>Bus-/Tram Bahnhof Salwator - Stradom (20 min)</t>
  </si>
  <si>
    <t>Supermarkt Bier und Wasser J&amp;C</t>
  </si>
  <si>
    <t>Bus-/Tram Bahnhof Stradom - Gertrudy (20 min)</t>
  </si>
  <si>
    <t>Free City Tour durch Krakau mit Anna, Trinkgeld</t>
  </si>
  <si>
    <t>Souvenir Krakau J&amp;C</t>
  </si>
  <si>
    <t>Eis Krakau Altstadt J&amp;C</t>
  </si>
  <si>
    <t>Brezn und Kaffee Krakau Altstadt J&amp;C</t>
  </si>
  <si>
    <t>Frühstück Milchbar Tomasza Krakau J&amp;C</t>
  </si>
  <si>
    <t>Mittagessen Bar Mleczny Pod Temiday Krakau J&amp;C</t>
  </si>
  <si>
    <t>Getränke Loza Marktplatz Krakau</t>
  </si>
  <si>
    <t>Abendessen Gospoda Koko Krakau incl. Trinkgeld</t>
  </si>
  <si>
    <t>Bäckerei Krakau J&amp;C</t>
  </si>
  <si>
    <t>Frühstück Bäckerei Krakau J&amp;C</t>
  </si>
  <si>
    <t>Bus-/Tram Bahnhof Stradom - Flughafen Krakau (60 min)</t>
  </si>
  <si>
    <t>Flughafen Krakau Brezn J&amp;C</t>
  </si>
  <si>
    <t>U-Bahn-Fahrkarte (4er-Ticket) U2 Flughafen-Ziegelstein</t>
  </si>
  <si>
    <t>Bus-/Tram Bahnhof Zablocie - Teatr Bagatela (60 min)</t>
  </si>
  <si>
    <t>Übernachtung Friendhouse Apt Starowislna (3 Zi)</t>
  </si>
  <si>
    <t>Übernachtung FeWo Krakowska 5 (2 Zi)</t>
  </si>
  <si>
    <t>Flug Nürnberg - Krakau - Nürnberg, Ryanair</t>
  </si>
  <si>
    <t>Gesamt</t>
  </si>
  <si>
    <t>Bargeld-Check J&amp;C</t>
  </si>
  <si>
    <t>Abgehoben</t>
  </si>
  <si>
    <t>Ausgegeben</t>
  </si>
  <si>
    <t>Restgeld</t>
  </si>
  <si>
    <t>Gefunden</t>
  </si>
  <si>
    <t>Bargeld</t>
  </si>
  <si>
    <t>Gebühr</t>
  </si>
  <si>
    <t>Kurs</t>
  </si>
  <si>
    <t>Legende:</t>
  </si>
  <si>
    <t>schwarz</t>
  </si>
  <si>
    <t>Barausgaben Christoph</t>
  </si>
  <si>
    <t>grün</t>
  </si>
  <si>
    <t>Kreditkartenausgaben Christoph</t>
  </si>
  <si>
    <t>rot</t>
  </si>
  <si>
    <t>siehe Bemerkung</t>
  </si>
  <si>
    <t>Ausgaben (partiell) durch einen von euch</t>
  </si>
  <si>
    <t>Bemerkung: Eure Ausgaben werden etwas höher sein, als hier berechnet, da noch bestimmte, hier nicht erfasste private</t>
  </si>
  <si>
    <t>Ausgaben hinzukommen.</t>
  </si>
  <si>
    <t>Rechnung</t>
  </si>
  <si>
    <t>D&amp;A</t>
  </si>
  <si>
    <t>an</t>
  </si>
  <si>
    <t>Christoph</t>
  </si>
  <si>
    <t>Daniel</t>
  </si>
  <si>
    <t>City Tour und Restaurant Koko</t>
  </si>
  <si>
    <t>Julia</t>
  </si>
  <si>
    <t xml:space="preserve">an </t>
  </si>
  <si>
    <t>City Tour</t>
  </si>
  <si>
    <t>Flüge</t>
  </si>
  <si>
    <t>Öff. VM</t>
  </si>
  <si>
    <t>Programm</t>
  </si>
  <si>
    <t>Statistik</t>
  </si>
  <si>
    <t>Übernachtungen</t>
  </si>
  <si>
    <r>
      <t>Restaurants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</si>
  <si>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Einkäufe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</si>
  <si>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Sonstiges</t>
    </r>
    <r>
      <rPr>
        <vertAlign val="superscript"/>
        <sz val="11"/>
        <color theme="1"/>
        <rFont val="Calibri"/>
        <family val="2"/>
        <scheme val="minor"/>
      </rPr>
      <t>1</t>
    </r>
  </si>
  <si>
    <t>pro Person</t>
  </si>
  <si>
    <t>€ p.P.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</si>
  <si>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an den Ausgaben von J&amp;C orientiert</t>
    </r>
  </si>
  <si>
    <t>Krakau (mit Wieliczka und Auschwitz) von Mi, 17.05.2023 bis So, 21.05.2023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</si>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</sst>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2" fontId="1" fillId="0" borderId="0" xfId="0" quotePrefix="1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2" fontId="3" fillId="0" borderId="2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quotePrefix="1" applyNumberFormat="1" applyFont="1" applyBorder="1" applyAlignment="1">
      <alignment horizontal="left"/>
    </xf>
    <xf numFmtId="2" fontId="0" fillId="0" borderId="2" xfId="0" quotePrefix="1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1" fillId="0" borderId="2" xfId="0" quotePrefix="1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0" fillId="0" borderId="4" xfId="0" applyBorder="1"/>
    <xf numFmtId="0" fontId="1" fillId="0" borderId="2" xfId="0" quotePrefix="1" applyFont="1" applyBorder="1"/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6" xfId="0" applyFont="1" applyBorder="1" applyAlignment="1">
      <alignment horizontal="left" vertical="top"/>
    </xf>
    <xf numFmtId="2" fontId="3" fillId="0" borderId="5" xfId="0" applyNumberFormat="1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3" fillId="0" borderId="5" xfId="0" applyNumberFormat="1" applyFont="1" applyFill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0" fillId="0" borderId="6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4" xfId="0" applyBorder="1" applyAlignment="1">
      <alignment horizontal="left"/>
    </xf>
    <xf numFmtId="0" fontId="3" fillId="0" borderId="1" xfId="0" applyFont="1" applyBorder="1"/>
    <xf numFmtId="2" fontId="3" fillId="0" borderId="4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5" fillId="0" borderId="0" xfId="0" applyFont="1"/>
    <xf numFmtId="0" fontId="0" fillId="0" borderId="0" xfId="0" applyFill="1" applyBorder="1"/>
    <xf numFmtId="2" fontId="0" fillId="0" borderId="0" xfId="0" applyNumberFormat="1" applyBorder="1"/>
    <xf numFmtId="0" fontId="0" fillId="0" borderId="0" xfId="0" applyBorder="1" applyAlignment="1"/>
    <xf numFmtId="0" fontId="5" fillId="0" borderId="0" xfId="0" applyFont="1" applyBorder="1" applyAlignment="1"/>
    <xf numFmtId="2" fontId="0" fillId="0" borderId="2" xfId="0" applyNumberFormat="1" applyFont="1" applyBorder="1" applyAlignment="1">
      <alignment horizontal="left"/>
    </xf>
    <xf numFmtId="2" fontId="0" fillId="0" borderId="5" xfId="0" applyNumberFormat="1" applyFont="1" applyBorder="1" applyAlignment="1">
      <alignment horizontal="left"/>
    </xf>
    <xf numFmtId="2" fontId="10" fillId="0" borderId="2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</a:t>
            </a:r>
            <a:r>
              <a:rPr lang="de-DE" baseline="0"/>
              <a:t> der Gruppe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Tabelle1!$M$32:$S$32</c:f>
              <c:strCache>
                <c:ptCount val="7"/>
                <c:pt idx="0">
                  <c:v>Flüge</c:v>
                </c:pt>
                <c:pt idx="1">
                  <c:v>Übernachtungen</c:v>
                </c:pt>
                <c:pt idx="2">
                  <c:v>Öff. VM</c:v>
                </c:pt>
                <c:pt idx="3">
                  <c:v>Programm</c:v>
                </c:pt>
                <c:pt idx="4">
                  <c:v>Restaurants1</c:v>
                </c:pt>
                <c:pt idx="5">
                  <c:v>Einkäufe1</c:v>
                </c:pt>
                <c:pt idx="6">
                  <c:v>Sonstiges1</c:v>
                </c:pt>
              </c:strCache>
            </c:strRef>
          </c:cat>
          <c:val>
            <c:numRef>
              <c:f>Tabelle1!$M$33:$S$33</c:f>
              <c:numCache>
                <c:formatCode>0.00</c:formatCode>
                <c:ptCount val="7"/>
                <c:pt idx="0">
                  <c:v>93.03</c:v>
                </c:pt>
                <c:pt idx="1">
                  <c:v>83.347999999999999</c:v>
                </c:pt>
                <c:pt idx="2">
                  <c:v>23.996000000000006</c:v>
                </c:pt>
                <c:pt idx="3">
                  <c:v>96.403252525252526</c:v>
                </c:pt>
                <c:pt idx="4">
                  <c:v>83.904570286612511</c:v>
                </c:pt>
                <c:pt idx="5">
                  <c:v>15.298752323232321</c:v>
                </c:pt>
                <c:pt idx="6">
                  <c:v>2.2651151515151513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33</xdr:row>
      <xdr:rowOff>23811</xdr:rowOff>
    </xdr:from>
    <xdr:to>
      <xdr:col>19</xdr:col>
      <xdr:colOff>752474</xdr:colOff>
      <xdr:row>54</xdr:row>
      <xdr:rowOff>9524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0"/>
  <sheetViews>
    <sheetView tabSelected="1" workbookViewId="0">
      <selection activeCell="Q16" sqref="Q16"/>
    </sheetView>
  </sheetViews>
  <sheetFormatPr baseColWidth="10" defaultRowHeight="15" x14ac:dyDescent="0.25"/>
  <cols>
    <col min="2" max="2" width="50.85546875" bestFit="1" customWidth="1"/>
    <col min="3" max="5" width="7.5703125" bestFit="1" customWidth="1"/>
    <col min="6" max="6" width="6.5703125" bestFit="1" customWidth="1"/>
    <col min="7" max="7" width="7.5703125" bestFit="1" customWidth="1"/>
    <col min="8" max="8" width="6.5703125" bestFit="1" customWidth="1"/>
    <col min="9" max="9" width="7.5703125" bestFit="1" customWidth="1"/>
    <col min="10" max="10" width="6.5703125" bestFit="1" customWidth="1"/>
    <col min="14" max="14" width="16.42578125" customWidth="1"/>
  </cols>
  <sheetData>
    <row r="1" spans="1:18" ht="18.75" x14ac:dyDescent="0.3">
      <c r="A1" s="72" t="s">
        <v>100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3" spans="1:18" x14ac:dyDescent="0.25">
      <c r="A3" s="36" t="s">
        <v>0</v>
      </c>
      <c r="B3" s="37" t="s">
        <v>1</v>
      </c>
      <c r="C3" s="18" t="s">
        <v>8</v>
      </c>
      <c r="D3" s="19"/>
      <c r="E3" s="18" t="s">
        <v>10</v>
      </c>
      <c r="F3" s="19"/>
      <c r="G3" s="18" t="s">
        <v>11</v>
      </c>
      <c r="H3" s="21"/>
      <c r="I3" s="20" t="s">
        <v>2</v>
      </c>
      <c r="J3" s="21"/>
      <c r="M3" s="15" t="s">
        <v>6</v>
      </c>
      <c r="N3" s="15"/>
      <c r="O3" s="15"/>
      <c r="P3" s="15"/>
      <c r="Q3" s="15"/>
      <c r="R3" t="s">
        <v>69</v>
      </c>
    </row>
    <row r="4" spans="1:18" x14ac:dyDescent="0.25">
      <c r="A4" s="38"/>
      <c r="B4" s="39"/>
      <c r="C4" s="40" t="s">
        <v>4</v>
      </c>
      <c r="D4" s="46" t="s">
        <v>5</v>
      </c>
      <c r="E4" s="41" t="s">
        <v>4</v>
      </c>
      <c r="F4" s="46" t="s">
        <v>5</v>
      </c>
      <c r="G4" s="41" t="s">
        <v>4</v>
      </c>
      <c r="H4" s="46" t="s">
        <v>5</v>
      </c>
      <c r="I4" s="42" t="s">
        <v>4</v>
      </c>
      <c r="J4" s="46" t="s">
        <v>5</v>
      </c>
      <c r="M4" t="s">
        <v>67</v>
      </c>
      <c r="N4">
        <v>600</v>
      </c>
      <c r="O4" t="s">
        <v>4</v>
      </c>
      <c r="P4" s="16">
        <v>133.47999999999999</v>
      </c>
      <c r="Q4" s="17" t="s">
        <v>5</v>
      </c>
      <c r="R4" s="16">
        <f>SUM(N4:N5)/P4</f>
        <v>4.6355259214863658</v>
      </c>
    </row>
    <row r="5" spans="1:18" x14ac:dyDescent="0.25">
      <c r="A5" s="43">
        <v>45063</v>
      </c>
      <c r="B5" s="5" t="s">
        <v>3</v>
      </c>
      <c r="C5" s="22" t="s">
        <v>7</v>
      </c>
      <c r="D5" s="47">
        <v>6.2</v>
      </c>
      <c r="E5" s="22" t="s">
        <v>7</v>
      </c>
      <c r="F5" s="47">
        <f>D5/2</f>
        <v>3.1</v>
      </c>
      <c r="G5" s="22" t="s">
        <v>7</v>
      </c>
      <c r="H5" s="47">
        <f>D5/4</f>
        <v>1.55</v>
      </c>
      <c r="I5" s="24" t="s">
        <v>7</v>
      </c>
      <c r="J5" s="47">
        <f>D5/4</f>
        <v>1.55</v>
      </c>
      <c r="M5" t="s">
        <v>68</v>
      </c>
      <c r="N5">
        <v>18.75</v>
      </c>
      <c r="O5" t="s">
        <v>4</v>
      </c>
      <c r="P5" s="16"/>
      <c r="Q5" s="17"/>
      <c r="R5" s="16"/>
    </row>
    <row r="6" spans="1:18" x14ac:dyDescent="0.25">
      <c r="A6" s="44"/>
      <c r="B6" t="s">
        <v>9</v>
      </c>
      <c r="C6" s="25" t="s">
        <v>7</v>
      </c>
      <c r="D6" s="48">
        <v>1</v>
      </c>
      <c r="E6" s="25" t="s">
        <v>7</v>
      </c>
      <c r="F6" s="48">
        <v>1</v>
      </c>
      <c r="G6" s="28"/>
      <c r="H6" s="48"/>
      <c r="I6" s="26"/>
      <c r="J6" s="48"/>
    </row>
    <row r="7" spans="1:18" x14ac:dyDescent="0.25">
      <c r="A7" s="44"/>
      <c r="B7" s="5" t="s">
        <v>12</v>
      </c>
      <c r="C7" s="27">
        <v>30</v>
      </c>
      <c r="D7" s="47">
        <v>6.71</v>
      </c>
      <c r="E7" s="27">
        <f>C7/5*2</f>
        <v>12</v>
      </c>
      <c r="F7" s="47">
        <f>D7/5*2</f>
        <v>2.6840000000000002</v>
      </c>
      <c r="G7" s="27">
        <f>C7/5*2</f>
        <v>12</v>
      </c>
      <c r="H7" s="47">
        <f>D7/5*2</f>
        <v>2.6840000000000002</v>
      </c>
      <c r="I7" s="23">
        <f>C7/5</f>
        <v>6</v>
      </c>
      <c r="J7" s="47">
        <f>D7/5</f>
        <v>1.3420000000000001</v>
      </c>
    </row>
    <row r="8" spans="1:18" x14ac:dyDescent="0.25">
      <c r="A8" s="44"/>
      <c r="B8" s="5" t="s">
        <v>13</v>
      </c>
      <c r="C8" s="27">
        <v>347</v>
      </c>
      <c r="D8" s="47">
        <v>82.23</v>
      </c>
      <c r="E8" s="27">
        <f>60+41+16+15+31/5*2</f>
        <v>144.4</v>
      </c>
      <c r="F8" s="47">
        <f>E8/C8*D8</f>
        <v>34.219054755043231</v>
      </c>
      <c r="G8" s="27">
        <f>11+41+40+16+12+31/5*2</f>
        <v>132.4</v>
      </c>
      <c r="H8" s="47">
        <f>G8/C8*D8</f>
        <v>31.375365994236315</v>
      </c>
      <c r="I8" s="23">
        <f>38+16+10+31/5</f>
        <v>70.2</v>
      </c>
      <c r="J8" s="47">
        <f>I8/C8*D8</f>
        <v>16.635579250720461</v>
      </c>
      <c r="M8" s="15" t="s">
        <v>62</v>
      </c>
      <c r="N8" s="15"/>
    </row>
    <row r="9" spans="1:18" x14ac:dyDescent="0.25">
      <c r="A9" s="44"/>
      <c r="B9" t="s">
        <v>14</v>
      </c>
      <c r="C9" s="28">
        <v>20</v>
      </c>
      <c r="D9" s="48">
        <f>C9/R4</f>
        <v>4.3145050505050495</v>
      </c>
      <c r="E9" s="28">
        <f>C9/5*2</f>
        <v>8</v>
      </c>
      <c r="F9" s="48">
        <f>E9/C9*D9</f>
        <v>1.7258020202020199</v>
      </c>
      <c r="G9" s="28">
        <f>C9/5*2</f>
        <v>8</v>
      </c>
      <c r="H9" s="48">
        <f>G9/C9*D9</f>
        <v>1.7258020202020199</v>
      </c>
      <c r="I9" s="26">
        <f>C9/5</f>
        <v>4</v>
      </c>
      <c r="J9" s="48">
        <f>I9/C9*D9</f>
        <v>0.86290101010100995</v>
      </c>
      <c r="M9" s="2" t="s">
        <v>63</v>
      </c>
      <c r="N9" s="2"/>
      <c r="O9">
        <v>600</v>
      </c>
      <c r="P9" t="s">
        <v>4</v>
      </c>
    </row>
    <row r="10" spans="1:18" x14ac:dyDescent="0.25">
      <c r="A10" s="44"/>
      <c r="B10" t="s">
        <v>16</v>
      </c>
      <c r="C10" s="28">
        <v>4.8</v>
      </c>
      <c r="D10" s="48">
        <f>C10/R4</f>
        <v>1.0354812121212118</v>
      </c>
      <c r="E10" s="28">
        <f>C10</f>
        <v>4.8</v>
      </c>
      <c r="F10" s="48">
        <f>D10</f>
        <v>1.0354812121212118</v>
      </c>
      <c r="G10" s="28"/>
      <c r="H10" s="48"/>
      <c r="I10" s="26"/>
      <c r="J10" s="48"/>
      <c r="M10" s="2" t="s">
        <v>64</v>
      </c>
      <c r="N10" s="2"/>
      <c r="P10" s="3">
        <f>SUM(C9:C10,C13:C14,C17,C19:C20,C24,C27:C28,C30,C33,C35,C41,C45:C46,C48:C50,C54,C57,C59)</f>
        <v>598.19999999999993</v>
      </c>
      <c r="Q10" t="s">
        <v>4</v>
      </c>
    </row>
    <row r="11" spans="1:18" x14ac:dyDescent="0.25">
      <c r="A11" s="56"/>
      <c r="B11" s="57" t="s">
        <v>58</v>
      </c>
      <c r="C11" s="58">
        <f>1076/2</f>
        <v>538</v>
      </c>
      <c r="D11" s="59">
        <f>219.64/2</f>
        <v>109.82</v>
      </c>
      <c r="E11" s="58">
        <f>C11/5*2</f>
        <v>215.2</v>
      </c>
      <c r="F11" s="59">
        <f>D11/5*2</f>
        <v>43.927999999999997</v>
      </c>
      <c r="G11" s="58">
        <f>C11/5*2</f>
        <v>215.2</v>
      </c>
      <c r="H11" s="59">
        <f>D11/5*2</f>
        <v>43.927999999999997</v>
      </c>
      <c r="I11" s="60">
        <f>C11/5</f>
        <v>107.6</v>
      </c>
      <c r="J11" s="59">
        <f>D11/5</f>
        <v>21.963999999999999</v>
      </c>
      <c r="M11" s="2" t="s">
        <v>66</v>
      </c>
      <c r="N11" s="2"/>
      <c r="P11" s="3">
        <v>-0.2</v>
      </c>
      <c r="Q11" t="s">
        <v>4</v>
      </c>
    </row>
    <row r="12" spans="1:18" x14ac:dyDescent="0.25">
      <c r="A12" s="44"/>
      <c r="C12" s="28"/>
      <c r="D12" s="48"/>
      <c r="E12" s="28"/>
      <c r="F12" s="48"/>
      <c r="G12" s="28"/>
      <c r="H12" s="48"/>
      <c r="I12" s="26"/>
      <c r="J12" s="48"/>
      <c r="M12" s="2" t="s">
        <v>65</v>
      </c>
      <c r="N12" s="2"/>
      <c r="O12" s="9"/>
      <c r="P12" s="9">
        <v>12</v>
      </c>
      <c r="Q12" s="9" t="s">
        <v>4</v>
      </c>
    </row>
    <row r="13" spans="1:18" x14ac:dyDescent="0.25">
      <c r="A13" s="43">
        <v>45064</v>
      </c>
      <c r="B13" t="s">
        <v>15</v>
      </c>
      <c r="C13" s="28">
        <f>48.8+0.2</f>
        <v>49</v>
      </c>
      <c r="D13" s="48">
        <f>C13/R4</f>
        <v>10.570537373737372</v>
      </c>
      <c r="E13" s="28">
        <f>C13</f>
        <v>49</v>
      </c>
      <c r="F13" s="48">
        <f>D13</f>
        <v>10.570537373737372</v>
      </c>
      <c r="G13" s="28"/>
      <c r="H13" s="48"/>
      <c r="I13" s="26"/>
      <c r="J13" s="48"/>
      <c r="O13" s="3">
        <f>SUM(P10:P12)</f>
        <v>609.99999999999989</v>
      </c>
      <c r="P13" t="s">
        <v>4</v>
      </c>
      <c r="R13" s="5" t="s">
        <v>101</v>
      </c>
    </row>
    <row r="14" spans="1:18" x14ac:dyDescent="0.25">
      <c r="A14" s="44"/>
      <c r="B14" t="s">
        <v>29</v>
      </c>
      <c r="C14" s="28">
        <v>2.4</v>
      </c>
      <c r="D14" s="48">
        <f>C14/R4</f>
        <v>0.5177406060606059</v>
      </c>
      <c r="E14" s="28">
        <f>C14</f>
        <v>2.4</v>
      </c>
      <c r="F14" s="48">
        <f>D14</f>
        <v>0.5177406060606059</v>
      </c>
      <c r="G14" s="28"/>
      <c r="H14" s="48"/>
      <c r="I14" s="26"/>
      <c r="J14" s="48"/>
    </row>
    <row r="15" spans="1:18" x14ac:dyDescent="0.25">
      <c r="A15" s="44"/>
      <c r="B15" s="5" t="s">
        <v>17</v>
      </c>
      <c r="C15" s="27">
        <v>30</v>
      </c>
      <c r="D15" s="47">
        <v>6.64</v>
      </c>
      <c r="E15" s="27">
        <f>C15/5*2</f>
        <v>12</v>
      </c>
      <c r="F15" s="47">
        <f>D15/5*2</f>
        <v>2.6559999999999997</v>
      </c>
      <c r="G15" s="27">
        <f>C15/5*2</f>
        <v>12</v>
      </c>
      <c r="H15" s="47">
        <f>D15/5*2</f>
        <v>2.6559999999999997</v>
      </c>
      <c r="I15" s="23">
        <f>C15/5</f>
        <v>6</v>
      </c>
      <c r="J15" s="47">
        <f>D15/5</f>
        <v>1.3279999999999998</v>
      </c>
    </row>
    <row r="16" spans="1:18" x14ac:dyDescent="0.25">
      <c r="A16" s="44"/>
      <c r="B16" s="5" t="s">
        <v>18</v>
      </c>
      <c r="C16" s="29">
        <v>660</v>
      </c>
      <c r="D16" s="49">
        <f>146.19+3.57+3.57</f>
        <v>153.32999999999998</v>
      </c>
      <c r="E16" s="27">
        <f>C16/5*2</f>
        <v>264</v>
      </c>
      <c r="F16" s="47">
        <f>D16/5*2</f>
        <v>61.331999999999994</v>
      </c>
      <c r="G16" s="27">
        <f>C16/5*2</f>
        <v>264</v>
      </c>
      <c r="H16" s="47">
        <f>D16/5*2</f>
        <v>61.331999999999994</v>
      </c>
      <c r="I16" s="23">
        <f>C16/5</f>
        <v>132</v>
      </c>
      <c r="J16" s="47">
        <f>D16/5</f>
        <v>30.665999999999997</v>
      </c>
      <c r="M16" t="s">
        <v>70</v>
      </c>
    </row>
    <row r="17" spans="1:21" x14ac:dyDescent="0.25">
      <c r="A17" s="44"/>
      <c r="B17" t="s">
        <v>19</v>
      </c>
      <c r="C17" s="28">
        <v>50</v>
      </c>
      <c r="D17" s="48">
        <f>C17/R4</f>
        <v>10.786262626262625</v>
      </c>
      <c r="E17" s="28">
        <f>C17/5*2</f>
        <v>20</v>
      </c>
      <c r="F17" s="48">
        <f>D17/5*2</f>
        <v>4.3145050505050495</v>
      </c>
      <c r="G17" s="28">
        <f>C17/5*2</f>
        <v>20</v>
      </c>
      <c r="H17" s="48">
        <f>D17/5*2</f>
        <v>4.3145050505050495</v>
      </c>
      <c r="I17" s="26">
        <f>C17/5</f>
        <v>10</v>
      </c>
      <c r="J17" s="48">
        <f>D17/5</f>
        <v>2.1572525252525248</v>
      </c>
      <c r="M17" t="s">
        <v>71</v>
      </c>
      <c r="N17" s="14" t="s">
        <v>72</v>
      </c>
      <c r="O17" s="14"/>
      <c r="P17" s="14"/>
      <c r="Q17" s="14"/>
    </row>
    <row r="18" spans="1:21" x14ac:dyDescent="0.25">
      <c r="A18" s="44"/>
      <c r="B18" s="5" t="s">
        <v>22</v>
      </c>
      <c r="C18" s="27">
        <v>30</v>
      </c>
      <c r="D18" s="47">
        <v>6.71</v>
      </c>
      <c r="E18" s="27">
        <f>C18/5*2</f>
        <v>12</v>
      </c>
      <c r="F18" s="47">
        <f>D18/5*2</f>
        <v>2.6840000000000002</v>
      </c>
      <c r="G18" s="27">
        <f>C18/5*2</f>
        <v>12</v>
      </c>
      <c r="H18" s="47">
        <f>D18/5*2</f>
        <v>2.6840000000000002</v>
      </c>
      <c r="I18" s="23">
        <f>C18/5</f>
        <v>6</v>
      </c>
      <c r="J18" s="47">
        <f>D18/5</f>
        <v>1.3420000000000001</v>
      </c>
      <c r="M18" s="5" t="s">
        <v>73</v>
      </c>
      <c r="N18" s="53" t="s">
        <v>74</v>
      </c>
      <c r="O18" s="53"/>
      <c r="P18" s="53"/>
      <c r="Q18" s="53"/>
    </row>
    <row r="19" spans="1:21" x14ac:dyDescent="0.25">
      <c r="A19" s="45"/>
      <c r="B19" t="s">
        <v>20</v>
      </c>
      <c r="C19" s="28">
        <f>32+9</f>
        <v>41</v>
      </c>
      <c r="D19" s="48">
        <f>C19/R4</f>
        <v>8.8447353535353521</v>
      </c>
      <c r="E19" s="28">
        <f>C19</f>
        <v>41</v>
      </c>
      <c r="F19" s="48">
        <f>D19</f>
        <v>8.8447353535353521</v>
      </c>
      <c r="G19" s="28"/>
      <c r="H19" s="48"/>
      <c r="I19" s="26"/>
      <c r="J19" s="48"/>
      <c r="M19" s="7" t="s">
        <v>75</v>
      </c>
      <c r="N19" s="54" t="s">
        <v>77</v>
      </c>
      <c r="O19" s="54"/>
      <c r="P19" s="54"/>
      <c r="Q19" s="54"/>
    </row>
    <row r="20" spans="1:21" x14ac:dyDescent="0.25">
      <c r="A20" s="45"/>
      <c r="B20" t="s">
        <v>21</v>
      </c>
      <c r="C20" s="28">
        <v>10</v>
      </c>
      <c r="D20" s="48">
        <f>C20/R4</f>
        <v>2.1572525252525248</v>
      </c>
      <c r="E20" s="28">
        <f>C20</f>
        <v>10</v>
      </c>
      <c r="F20" s="48">
        <f>D20</f>
        <v>2.1572525252525248</v>
      </c>
      <c r="G20" s="28"/>
      <c r="H20" s="48"/>
      <c r="I20" s="26"/>
      <c r="J20" s="48"/>
      <c r="M20" s="7"/>
      <c r="N20" s="54" t="s">
        <v>76</v>
      </c>
      <c r="O20" s="54"/>
      <c r="P20" s="54"/>
    </row>
    <row r="21" spans="1:21" x14ac:dyDescent="0.25">
      <c r="A21" s="45"/>
      <c r="B21" s="5" t="s">
        <v>23</v>
      </c>
      <c r="C21" s="27">
        <v>20</v>
      </c>
      <c r="D21" s="47">
        <v>4.4400000000000004</v>
      </c>
      <c r="E21" s="27">
        <f>C21/5*2</f>
        <v>8</v>
      </c>
      <c r="F21" s="47">
        <f>D21/5*2</f>
        <v>1.7760000000000002</v>
      </c>
      <c r="G21" s="27">
        <f>C21/5*2</f>
        <v>8</v>
      </c>
      <c r="H21" s="47">
        <f>D21/5*2</f>
        <v>1.7760000000000002</v>
      </c>
      <c r="I21" s="23">
        <f>C21/5</f>
        <v>4</v>
      </c>
      <c r="J21" s="47">
        <f>D21/5</f>
        <v>0.88800000000000012</v>
      </c>
    </row>
    <row r="22" spans="1:21" x14ac:dyDescent="0.25">
      <c r="A22" s="45"/>
      <c r="B22" s="5" t="s">
        <v>24</v>
      </c>
      <c r="C22" s="27">
        <v>490</v>
      </c>
      <c r="D22" s="47">
        <v>109.52</v>
      </c>
      <c r="E22" s="27">
        <f>C22/5*2</f>
        <v>196</v>
      </c>
      <c r="F22" s="47">
        <f>D22/5*2</f>
        <v>43.808</v>
      </c>
      <c r="G22" s="27">
        <f>C22/5*2</f>
        <v>196</v>
      </c>
      <c r="H22" s="47">
        <f>D22/5*2</f>
        <v>43.808</v>
      </c>
      <c r="I22" s="23">
        <f>C22/5</f>
        <v>98</v>
      </c>
      <c r="J22" s="47">
        <f>D22/5</f>
        <v>21.904</v>
      </c>
    </row>
    <row r="23" spans="1:21" x14ac:dyDescent="0.25">
      <c r="A23" s="45"/>
      <c r="B23" s="5" t="s">
        <v>25</v>
      </c>
      <c r="C23" s="27">
        <v>30</v>
      </c>
      <c r="D23" s="47">
        <v>6.71</v>
      </c>
      <c r="E23" s="27">
        <f>C23/5*2</f>
        <v>12</v>
      </c>
      <c r="F23" s="47">
        <f>D23/5*2</f>
        <v>2.6840000000000002</v>
      </c>
      <c r="G23" s="27">
        <f>C23/5*2</f>
        <v>12</v>
      </c>
      <c r="H23" s="47">
        <f>D23/5*2</f>
        <v>2.6840000000000002</v>
      </c>
      <c r="I23" s="23">
        <f>C23/5</f>
        <v>6</v>
      </c>
      <c r="J23" s="47">
        <f>D23/5</f>
        <v>1.3420000000000001</v>
      </c>
      <c r="M23" s="63" t="s">
        <v>80</v>
      </c>
    </row>
    <row r="24" spans="1:21" x14ac:dyDescent="0.25">
      <c r="A24" s="45"/>
      <c r="B24" t="s">
        <v>28</v>
      </c>
      <c r="C24" s="28">
        <f>13+19+45+29+4</f>
        <v>110</v>
      </c>
      <c r="D24" s="48">
        <f>C24/R4</f>
        <v>23.729777777777773</v>
      </c>
      <c r="E24" s="68">
        <f>C24</f>
        <v>110</v>
      </c>
      <c r="F24" s="69">
        <f>D24</f>
        <v>23.729777777777773</v>
      </c>
      <c r="G24" s="33"/>
      <c r="H24" s="51"/>
      <c r="I24" s="13"/>
      <c r="J24" s="51"/>
      <c r="M24" s="55" t="s">
        <v>81</v>
      </c>
      <c r="N24" s="55" t="s">
        <v>82</v>
      </c>
      <c r="O24" t="s">
        <v>83</v>
      </c>
      <c r="Q24" s="3">
        <f>SUM(H5:H46,H48:H52,H54:H61)</f>
        <v>471.08579524676156</v>
      </c>
      <c r="R24" s="3"/>
    </row>
    <row r="25" spans="1:21" x14ac:dyDescent="0.25">
      <c r="A25" s="34"/>
      <c r="B25" s="57" t="s">
        <v>58</v>
      </c>
      <c r="C25" s="58">
        <f>1076/2</f>
        <v>538</v>
      </c>
      <c r="D25" s="59">
        <f>219.64/2</f>
        <v>109.82</v>
      </c>
      <c r="E25" s="58">
        <f>C25/5*2</f>
        <v>215.2</v>
      </c>
      <c r="F25" s="59">
        <f>D25/5*2</f>
        <v>43.927999999999997</v>
      </c>
      <c r="G25" s="58">
        <f>C25/5*2</f>
        <v>215.2</v>
      </c>
      <c r="H25" s="59">
        <f>D25/5*2</f>
        <v>43.927999999999997</v>
      </c>
      <c r="I25" s="60">
        <f>C25/5</f>
        <v>107.6</v>
      </c>
      <c r="J25" s="59">
        <f>D25/5</f>
        <v>21.963999999999999</v>
      </c>
      <c r="M25" t="s">
        <v>83</v>
      </c>
      <c r="N25" t="s">
        <v>82</v>
      </c>
      <c r="O25" t="s">
        <v>84</v>
      </c>
      <c r="Q25" s="3">
        <f>20+5</f>
        <v>25</v>
      </c>
      <c r="R25" t="s">
        <v>85</v>
      </c>
    </row>
    <row r="26" spans="1:21" x14ac:dyDescent="0.25">
      <c r="A26" s="45"/>
      <c r="C26" s="28"/>
      <c r="D26" s="48"/>
      <c r="E26" s="28"/>
      <c r="F26" s="48"/>
      <c r="G26" s="28"/>
      <c r="H26" s="48"/>
      <c r="I26" s="26"/>
      <c r="J26" s="48"/>
    </row>
    <row r="27" spans="1:21" x14ac:dyDescent="0.25">
      <c r="A27" s="43">
        <v>45065</v>
      </c>
      <c r="B27" t="s">
        <v>26</v>
      </c>
      <c r="C27" s="28">
        <v>19</v>
      </c>
      <c r="D27" s="48">
        <f>C27/R4</f>
        <v>4.0987797979797973</v>
      </c>
      <c r="E27" s="28">
        <f>C27</f>
        <v>19</v>
      </c>
      <c r="F27" s="48">
        <f>D27</f>
        <v>4.0987797979797973</v>
      </c>
      <c r="G27" s="28"/>
      <c r="H27" s="48"/>
      <c r="I27" s="26"/>
      <c r="J27" s="48"/>
      <c r="M27" t="s">
        <v>86</v>
      </c>
      <c r="N27" t="s">
        <v>87</v>
      </c>
      <c r="O27" t="s">
        <v>83</v>
      </c>
      <c r="Q27" s="3">
        <f>SUM(J5:J46,J48:J52,J54:J61)</f>
        <v>234.69901205880132</v>
      </c>
      <c r="R27" s="3"/>
    </row>
    <row r="28" spans="1:21" x14ac:dyDescent="0.25">
      <c r="A28" s="45"/>
      <c r="B28" t="s">
        <v>27</v>
      </c>
      <c r="C28" s="28">
        <v>18.2</v>
      </c>
      <c r="D28" s="48">
        <f>C28/R4</f>
        <v>3.926199595959595</v>
      </c>
      <c r="E28" s="28">
        <f>C28</f>
        <v>18.2</v>
      </c>
      <c r="F28" s="48">
        <f>D28</f>
        <v>3.926199595959595</v>
      </c>
      <c r="G28" s="28"/>
      <c r="H28" s="48"/>
      <c r="I28" s="26"/>
      <c r="J28" s="48"/>
      <c r="M28" t="s">
        <v>86</v>
      </c>
      <c r="N28" t="s">
        <v>87</v>
      </c>
      <c r="O28" t="s">
        <v>84</v>
      </c>
      <c r="Q28" s="3">
        <v>10</v>
      </c>
      <c r="R28" t="s">
        <v>88</v>
      </c>
    </row>
    <row r="29" spans="1:21" x14ac:dyDescent="0.25">
      <c r="A29" s="45"/>
      <c r="B29" s="5" t="s">
        <v>30</v>
      </c>
      <c r="C29" s="27">
        <v>20</v>
      </c>
      <c r="D29" s="47">
        <v>4.43</v>
      </c>
      <c r="E29" s="27">
        <f>C29/5*2</f>
        <v>8</v>
      </c>
      <c r="F29" s="47">
        <f>D29/5*2</f>
        <v>1.7719999999999998</v>
      </c>
      <c r="G29" s="27">
        <f>C29/5*2</f>
        <v>8</v>
      </c>
      <c r="H29" s="47">
        <f>D29/5*2</f>
        <v>1.7719999999999998</v>
      </c>
      <c r="I29" s="23">
        <f>C29/5</f>
        <v>4</v>
      </c>
      <c r="J29" s="47">
        <f>D29/5</f>
        <v>0.8859999999999999</v>
      </c>
    </row>
    <row r="30" spans="1:21" x14ac:dyDescent="0.25">
      <c r="A30" s="45"/>
      <c r="B30" t="s">
        <v>31</v>
      </c>
      <c r="C30" s="28">
        <v>36</v>
      </c>
      <c r="D30" s="48">
        <f>C30/R4</f>
        <v>7.7661090909090893</v>
      </c>
      <c r="E30" s="28">
        <f>C30/4</f>
        <v>9</v>
      </c>
      <c r="F30" s="48">
        <f>D30/4</f>
        <v>1.9415272727272723</v>
      </c>
      <c r="G30" s="28">
        <f>C30/2</f>
        <v>18</v>
      </c>
      <c r="H30" s="48">
        <f>D30/2</f>
        <v>3.8830545454545446</v>
      </c>
      <c r="I30" s="26">
        <f>C30/4</f>
        <v>9</v>
      </c>
      <c r="J30" s="48">
        <f>D30/4</f>
        <v>1.9415272727272723</v>
      </c>
      <c r="Q30" s="3"/>
    </row>
    <row r="31" spans="1:21" x14ac:dyDescent="0.25">
      <c r="A31" s="45"/>
      <c r="B31" s="5" t="s">
        <v>34</v>
      </c>
      <c r="C31" s="27">
        <v>75</v>
      </c>
      <c r="D31" s="47">
        <v>16.440000000000001</v>
      </c>
      <c r="E31" s="27">
        <f>C31/5*2</f>
        <v>30</v>
      </c>
      <c r="F31" s="47">
        <f>D31/5*2</f>
        <v>6.5760000000000005</v>
      </c>
      <c r="G31" s="27">
        <f>C31/5*2</f>
        <v>30</v>
      </c>
      <c r="H31" s="47">
        <f>D31/5*2</f>
        <v>6.5760000000000005</v>
      </c>
      <c r="I31" s="23">
        <f>C31/5</f>
        <v>15</v>
      </c>
      <c r="J31" s="47">
        <f>D31/5</f>
        <v>3.2880000000000003</v>
      </c>
      <c r="M31" s="67" t="s">
        <v>92</v>
      </c>
      <c r="N31" s="66"/>
      <c r="O31" s="65"/>
      <c r="U31" s="3"/>
    </row>
    <row r="32" spans="1:21" ht="17.25" x14ac:dyDescent="0.25">
      <c r="A32" s="45"/>
      <c r="B32" s="5" t="s">
        <v>33</v>
      </c>
      <c r="C32" s="29">
        <v>450</v>
      </c>
      <c r="D32" s="49">
        <v>96.45</v>
      </c>
      <c r="E32" s="27">
        <f>C32/5*2</f>
        <v>180</v>
      </c>
      <c r="F32" s="47">
        <f>D32/5*2</f>
        <v>38.58</v>
      </c>
      <c r="G32" s="27">
        <f>C32/5*2</f>
        <v>180</v>
      </c>
      <c r="H32" s="47">
        <f>D32/5*2</f>
        <v>38.58</v>
      </c>
      <c r="I32" s="23">
        <f>C32/5</f>
        <v>90</v>
      </c>
      <c r="J32" s="47">
        <f>D32/5</f>
        <v>19.29</v>
      </c>
      <c r="M32" s="2" t="s">
        <v>89</v>
      </c>
      <c r="N32" s="2" t="s">
        <v>93</v>
      </c>
      <c r="O32" s="2" t="s">
        <v>90</v>
      </c>
      <c r="P32" s="2" t="s">
        <v>91</v>
      </c>
      <c r="Q32" s="2" t="s">
        <v>94</v>
      </c>
      <c r="R32" s="2" t="s">
        <v>95</v>
      </c>
      <c r="S32" s="2" t="s">
        <v>96</v>
      </c>
      <c r="T32" s="44" t="s">
        <v>61</v>
      </c>
    </row>
    <row r="33" spans="1:20" x14ac:dyDescent="0.25">
      <c r="A33" s="45"/>
      <c r="B33" s="6" t="s">
        <v>36</v>
      </c>
      <c r="C33" s="30">
        <v>41</v>
      </c>
      <c r="D33" s="50">
        <f>C33/R4</f>
        <v>8.8447353535353521</v>
      </c>
      <c r="E33" s="30">
        <f>C33</f>
        <v>41</v>
      </c>
      <c r="F33" s="50">
        <f>D33</f>
        <v>8.8447353535353521</v>
      </c>
      <c r="G33" s="30"/>
      <c r="H33" s="50"/>
      <c r="I33" s="31"/>
      <c r="J33" s="50"/>
      <c r="M33" s="4">
        <f>F62/2</f>
        <v>93.03</v>
      </c>
      <c r="N33" s="4">
        <f>SUM(F11,F25,F42,F55)/2</f>
        <v>83.347999999999999</v>
      </c>
      <c r="O33" s="4">
        <f>SUM(F5,F7,F15,F18,F21,F23,F29,F31,F34,F36,F38,F40,F44,F51,F58,F60)/2</f>
        <v>23.996000000000006</v>
      </c>
      <c r="P33" s="4">
        <f>SUM(F16:F17,F22,F32,F39,F47)/2</f>
        <v>96.403252525252526</v>
      </c>
      <c r="Q33" s="4">
        <f>SUM(F8:F9,F13,F19,F24,F33,F37,F45,F48,F52:F53)/2</f>
        <v>83.904570286612511</v>
      </c>
      <c r="R33" s="4">
        <f>SUM(F6,F10,F14,F20,F27:F28,F35,F41,F46,F50,F54,F57,F59)/2</f>
        <v>15.298752323232321</v>
      </c>
      <c r="S33" s="4">
        <f>SUM(F30,F49)/2</f>
        <v>2.2651151515151513</v>
      </c>
      <c r="T33" s="28">
        <f>SUM(M33:S33)</f>
        <v>398.24569028661244</v>
      </c>
    </row>
    <row r="34" spans="1:20" x14ac:dyDescent="0.25">
      <c r="A34" s="45"/>
      <c r="B34" s="5" t="s">
        <v>35</v>
      </c>
      <c r="C34" s="27">
        <v>107.16</v>
      </c>
      <c r="D34" s="47">
        <v>23.49</v>
      </c>
      <c r="E34" s="27">
        <f>C34/5*2</f>
        <v>42.863999999999997</v>
      </c>
      <c r="F34" s="47">
        <f>D34/5*2</f>
        <v>9.395999999999999</v>
      </c>
      <c r="G34" s="27">
        <f>C34/5*2</f>
        <v>42.863999999999997</v>
      </c>
      <c r="H34" s="47">
        <f>D34/5*2</f>
        <v>9.395999999999999</v>
      </c>
      <c r="I34" s="23">
        <f>C34/5</f>
        <v>21.431999999999999</v>
      </c>
      <c r="J34" s="47">
        <f>D34/5</f>
        <v>4.6979999999999995</v>
      </c>
      <c r="M34" s="10"/>
      <c r="N34" s="10"/>
      <c r="O34" s="65"/>
    </row>
    <row r="35" spans="1:20" x14ac:dyDescent="0.25">
      <c r="A35" s="45"/>
      <c r="B35" t="s">
        <v>32</v>
      </c>
      <c r="C35" s="28">
        <f>4+4.4</f>
        <v>8.4</v>
      </c>
      <c r="D35" s="48">
        <f>C35/R4</f>
        <v>1.812092121212121</v>
      </c>
      <c r="E35" s="28">
        <f>C35</f>
        <v>8.4</v>
      </c>
      <c r="F35" s="48">
        <f>D35</f>
        <v>1.812092121212121</v>
      </c>
      <c r="G35" s="28"/>
      <c r="H35" s="48"/>
      <c r="I35" s="26"/>
      <c r="J35" s="48"/>
      <c r="M35" s="10"/>
      <c r="N35" s="10"/>
      <c r="O35" s="65"/>
    </row>
    <row r="36" spans="1:20" x14ac:dyDescent="0.25">
      <c r="A36" s="45"/>
      <c r="B36" s="5" t="s">
        <v>37</v>
      </c>
      <c r="C36" s="27">
        <v>20</v>
      </c>
      <c r="D36" s="47">
        <v>4.43</v>
      </c>
      <c r="E36" s="27">
        <f>C36/5*2</f>
        <v>8</v>
      </c>
      <c r="F36" s="47">
        <f>D36/5*2</f>
        <v>1.7719999999999998</v>
      </c>
      <c r="G36" s="27">
        <f>C36/5*2</f>
        <v>8</v>
      </c>
      <c r="H36" s="47">
        <f>D36/5*2</f>
        <v>1.7719999999999998</v>
      </c>
      <c r="I36" s="23">
        <f>C36/5</f>
        <v>4</v>
      </c>
      <c r="J36" s="47">
        <f>D36/5</f>
        <v>0.8859999999999999</v>
      </c>
      <c r="M36" s="10"/>
      <c r="N36" s="10"/>
      <c r="O36" s="65"/>
    </row>
    <row r="37" spans="1:20" x14ac:dyDescent="0.25">
      <c r="A37" s="45"/>
      <c r="B37" s="5" t="s">
        <v>38</v>
      </c>
      <c r="C37" s="27">
        <v>250</v>
      </c>
      <c r="D37" s="47">
        <v>55.5</v>
      </c>
      <c r="E37" s="27">
        <f>28+28+12+6+9+22/5*2</f>
        <v>91.8</v>
      </c>
      <c r="F37" s="47">
        <f>E37/C37*D37</f>
        <v>20.3796</v>
      </c>
      <c r="G37" s="27">
        <f>29+26+10+29+22/5*2</f>
        <v>102.8</v>
      </c>
      <c r="H37" s="47">
        <f>G37/C37*D37</f>
        <v>22.8216</v>
      </c>
      <c r="I37" s="23">
        <f>28+11+12+22/5</f>
        <v>55.4</v>
      </c>
      <c r="J37" s="47">
        <f>I37/C37*D37</f>
        <v>12.2988</v>
      </c>
      <c r="M37" s="10"/>
      <c r="N37" s="10"/>
      <c r="O37" s="65"/>
    </row>
    <row r="38" spans="1:20" x14ac:dyDescent="0.25">
      <c r="A38" s="45"/>
      <c r="B38" s="5" t="s">
        <v>39</v>
      </c>
      <c r="C38" s="27">
        <v>20</v>
      </c>
      <c r="D38" s="47">
        <v>4.4400000000000004</v>
      </c>
      <c r="E38" s="27">
        <f>C38/5*2</f>
        <v>8</v>
      </c>
      <c r="F38" s="47">
        <f>D38/5*2</f>
        <v>1.7760000000000002</v>
      </c>
      <c r="G38" s="27">
        <f>C38/5*2</f>
        <v>8</v>
      </c>
      <c r="H38" s="47">
        <f>D38/5*2</f>
        <v>1.7760000000000002</v>
      </c>
      <c r="I38" s="23">
        <f>C38/5</f>
        <v>4</v>
      </c>
      <c r="J38" s="47">
        <f>D38/5</f>
        <v>0.88800000000000012</v>
      </c>
      <c r="M38" s="64"/>
      <c r="N38" s="10"/>
      <c r="O38" s="65"/>
    </row>
    <row r="39" spans="1:20" x14ac:dyDescent="0.25">
      <c r="A39" s="45"/>
      <c r="B39" s="5" t="s">
        <v>40</v>
      </c>
      <c r="C39" s="27">
        <v>279</v>
      </c>
      <c r="D39" s="47">
        <v>61.93</v>
      </c>
      <c r="E39" s="27">
        <f>C39/5*2</f>
        <v>111.6</v>
      </c>
      <c r="F39" s="47">
        <f>D39/5*2</f>
        <v>24.771999999999998</v>
      </c>
      <c r="G39" s="27">
        <f>C39/5*2</f>
        <v>111.6</v>
      </c>
      <c r="H39" s="47">
        <f>D39/5*2</f>
        <v>24.771999999999998</v>
      </c>
      <c r="I39" s="23">
        <f>C39/5</f>
        <v>55.8</v>
      </c>
      <c r="J39" s="47">
        <f>D39/5</f>
        <v>12.385999999999999</v>
      </c>
      <c r="M39" s="10"/>
      <c r="N39" s="10"/>
      <c r="O39" s="10"/>
    </row>
    <row r="40" spans="1:20" x14ac:dyDescent="0.25">
      <c r="A40" s="45"/>
      <c r="B40" s="5" t="s">
        <v>41</v>
      </c>
      <c r="C40" s="27">
        <v>20</v>
      </c>
      <c r="D40" s="47">
        <v>4.4400000000000004</v>
      </c>
      <c r="E40" s="27">
        <f>C40/5*2</f>
        <v>8</v>
      </c>
      <c r="F40" s="47">
        <f>D40/5*2</f>
        <v>1.7760000000000002</v>
      </c>
      <c r="G40" s="27">
        <f>C40/5*2</f>
        <v>8</v>
      </c>
      <c r="H40" s="47">
        <f>D40/5*2</f>
        <v>1.7760000000000002</v>
      </c>
      <c r="I40" s="23">
        <f>C40/5</f>
        <v>4</v>
      </c>
      <c r="J40" s="47">
        <f>D40/5</f>
        <v>0.88800000000000012</v>
      </c>
    </row>
    <row r="41" spans="1:20" x14ac:dyDescent="0.25">
      <c r="A41" s="45"/>
      <c r="B41" s="8" t="s">
        <v>42</v>
      </c>
      <c r="C41" s="28">
        <v>6.9</v>
      </c>
      <c r="D41" s="48">
        <f>C41/R4</f>
        <v>1.4885042424242423</v>
      </c>
      <c r="E41" s="28">
        <f>C41</f>
        <v>6.9</v>
      </c>
      <c r="F41" s="48">
        <f>D41</f>
        <v>1.4885042424242423</v>
      </c>
      <c r="G41" s="28"/>
      <c r="H41" s="48"/>
      <c r="I41" s="26"/>
      <c r="J41" s="48"/>
    </row>
    <row r="42" spans="1:20" x14ac:dyDescent="0.25">
      <c r="A42" s="34"/>
      <c r="B42" s="57" t="s">
        <v>59</v>
      </c>
      <c r="C42" s="58">
        <f>900/2</f>
        <v>450</v>
      </c>
      <c r="D42" s="59">
        <f>197.1/2</f>
        <v>98.55</v>
      </c>
      <c r="E42" s="58">
        <f>C42/5*2</f>
        <v>180</v>
      </c>
      <c r="F42" s="59">
        <f>D42/5*2</f>
        <v>39.42</v>
      </c>
      <c r="G42" s="58">
        <f>C42/5*2</f>
        <v>180</v>
      </c>
      <c r="H42" s="59">
        <f>D42/5*2</f>
        <v>39.42</v>
      </c>
      <c r="I42" s="60">
        <f>C42/5</f>
        <v>90</v>
      </c>
      <c r="J42" s="59">
        <f>D42/5</f>
        <v>19.71</v>
      </c>
    </row>
    <row r="43" spans="1:20" x14ac:dyDescent="0.25">
      <c r="A43" s="45"/>
      <c r="C43" s="28"/>
      <c r="D43" s="48"/>
      <c r="E43" s="28"/>
      <c r="F43" s="48"/>
      <c r="G43" s="28"/>
      <c r="H43" s="48"/>
      <c r="I43" s="26"/>
      <c r="J43" s="48"/>
    </row>
    <row r="44" spans="1:20" x14ac:dyDescent="0.25">
      <c r="A44" s="43">
        <v>45066</v>
      </c>
      <c r="B44" s="5" t="s">
        <v>43</v>
      </c>
      <c r="C44" s="27">
        <v>20</v>
      </c>
      <c r="D44" s="47">
        <v>4.4400000000000004</v>
      </c>
      <c r="E44" s="27">
        <f>C44/5*2</f>
        <v>8</v>
      </c>
      <c r="F44" s="47">
        <f>D44/5*2</f>
        <v>1.7760000000000002</v>
      </c>
      <c r="G44" s="27">
        <f>C44/5*2</f>
        <v>8</v>
      </c>
      <c r="H44" s="47">
        <f>D44/5*2</f>
        <v>1.7760000000000002</v>
      </c>
      <c r="I44" s="23">
        <f>C44/5</f>
        <v>4</v>
      </c>
      <c r="J44" s="47">
        <f>D44/5</f>
        <v>0.88800000000000012</v>
      </c>
    </row>
    <row r="45" spans="1:20" x14ac:dyDescent="0.25">
      <c r="A45" s="45"/>
      <c r="B45" s="8" t="s">
        <v>48</v>
      </c>
      <c r="C45" s="28">
        <v>59</v>
      </c>
      <c r="D45" s="48">
        <f>C45/R4</f>
        <v>12.727789898989897</v>
      </c>
      <c r="E45" s="28">
        <f>C45</f>
        <v>59</v>
      </c>
      <c r="F45" s="48">
        <f>D45</f>
        <v>12.727789898989897</v>
      </c>
      <c r="G45" s="28"/>
      <c r="H45" s="48"/>
      <c r="I45" s="26"/>
      <c r="J45" s="48"/>
    </row>
    <row r="46" spans="1:20" x14ac:dyDescent="0.25">
      <c r="A46" s="45"/>
      <c r="B46" s="8" t="s">
        <v>47</v>
      </c>
      <c r="C46" s="28">
        <f>3+16</f>
        <v>19</v>
      </c>
      <c r="D46" s="48">
        <f>C46/R4</f>
        <v>4.0987797979797973</v>
      </c>
      <c r="E46" s="28">
        <f>C46</f>
        <v>19</v>
      </c>
      <c r="F46" s="48">
        <f>D46</f>
        <v>4.0987797979797973</v>
      </c>
      <c r="G46" s="28"/>
      <c r="H46" s="48"/>
      <c r="I46" s="26"/>
      <c r="J46" s="48"/>
    </row>
    <row r="47" spans="1:20" x14ac:dyDescent="0.25">
      <c r="A47" s="45"/>
      <c r="B47" s="7" t="s">
        <v>44</v>
      </c>
      <c r="C47" s="32" t="s">
        <v>7</v>
      </c>
      <c r="D47" s="51">
        <v>50</v>
      </c>
      <c r="E47" s="32" t="s">
        <v>7</v>
      </c>
      <c r="F47" s="51">
        <f>D47/5*2</f>
        <v>20</v>
      </c>
      <c r="G47" s="32" t="s">
        <v>7</v>
      </c>
      <c r="H47" s="51">
        <f>D47/5*2</f>
        <v>20</v>
      </c>
      <c r="I47" s="12" t="s">
        <v>7</v>
      </c>
      <c r="J47" s="51">
        <f>D47/5</f>
        <v>10</v>
      </c>
    </row>
    <row r="48" spans="1:20" x14ac:dyDescent="0.25">
      <c r="A48" s="45"/>
      <c r="B48" s="8" t="s">
        <v>49</v>
      </c>
      <c r="C48" s="28">
        <v>43</v>
      </c>
      <c r="D48" s="48">
        <f>C48/R4</f>
        <v>9.2761858585858565</v>
      </c>
      <c r="E48" s="28">
        <f>C48</f>
        <v>43</v>
      </c>
      <c r="F48" s="48">
        <f>D48</f>
        <v>9.2761858585858565</v>
      </c>
      <c r="G48" s="28"/>
      <c r="H48" s="48"/>
      <c r="I48" s="26"/>
      <c r="J48" s="48"/>
    </row>
    <row r="49" spans="1:20" x14ac:dyDescent="0.25">
      <c r="A49" s="45"/>
      <c r="B49" s="8" t="s">
        <v>45</v>
      </c>
      <c r="C49" s="28">
        <v>12</v>
      </c>
      <c r="D49" s="48">
        <f>C49/R4</f>
        <v>2.5887030303030301</v>
      </c>
      <c r="E49" s="28">
        <f>C49</f>
        <v>12</v>
      </c>
      <c r="F49" s="48">
        <f>D49</f>
        <v>2.5887030303030301</v>
      </c>
      <c r="G49" s="28"/>
      <c r="H49" s="48"/>
      <c r="I49" s="26"/>
      <c r="J49" s="48"/>
    </row>
    <row r="50" spans="1:20" x14ac:dyDescent="0.25">
      <c r="A50" s="45"/>
      <c r="B50" s="8" t="s">
        <v>46</v>
      </c>
      <c r="C50" s="28">
        <v>14</v>
      </c>
      <c r="D50" s="48">
        <f>C50/R4</f>
        <v>3.0201535353535349</v>
      </c>
      <c r="E50" s="28">
        <f>C50</f>
        <v>14</v>
      </c>
      <c r="F50" s="48">
        <f>D50</f>
        <v>3.0201535353535349</v>
      </c>
      <c r="G50" s="28"/>
      <c r="H50" s="48"/>
      <c r="I50" s="26"/>
      <c r="J50" s="48"/>
    </row>
    <row r="51" spans="1:20" x14ac:dyDescent="0.25">
      <c r="A51" s="45"/>
      <c r="B51" s="5" t="s">
        <v>57</v>
      </c>
      <c r="C51" s="27">
        <v>30</v>
      </c>
      <c r="D51" s="47">
        <v>6.69</v>
      </c>
      <c r="E51" s="27">
        <f>C51/5*2</f>
        <v>12</v>
      </c>
      <c r="F51" s="47">
        <f>D51/5*2</f>
        <v>2.6760000000000002</v>
      </c>
      <c r="G51" s="27">
        <f>C51/5*2</f>
        <v>12</v>
      </c>
      <c r="H51" s="47">
        <f>D51/5*2</f>
        <v>2.6760000000000002</v>
      </c>
      <c r="I51" s="23">
        <f>C51/5</f>
        <v>6</v>
      </c>
      <c r="J51" s="47">
        <f>D51/5</f>
        <v>1.3380000000000001</v>
      </c>
    </row>
    <row r="52" spans="1:20" x14ac:dyDescent="0.25">
      <c r="A52" s="45"/>
      <c r="B52" s="5" t="s">
        <v>50</v>
      </c>
      <c r="C52" s="27">
        <v>220</v>
      </c>
      <c r="D52" s="47">
        <v>48.72</v>
      </c>
      <c r="E52" s="27">
        <f>22+25+23.51/5*2</f>
        <v>56.403999999999996</v>
      </c>
      <c r="F52" s="47">
        <f>E52/C52*D52</f>
        <v>12.490922181818179</v>
      </c>
      <c r="G52" s="27">
        <f>64+48+23.51/5*2</f>
        <v>121.404</v>
      </c>
      <c r="H52" s="47">
        <f>G52/C52*D52</f>
        <v>26.885467636363632</v>
      </c>
      <c r="I52" s="23">
        <f>14.9+22+23.51/5</f>
        <v>41.601999999999997</v>
      </c>
      <c r="J52" s="47">
        <f>I52/C52*D52</f>
        <v>9.2129519999999996</v>
      </c>
    </row>
    <row r="53" spans="1:20" x14ac:dyDescent="0.25">
      <c r="A53" s="45"/>
      <c r="B53" s="7" t="s">
        <v>51</v>
      </c>
      <c r="C53" s="70">
        <f>263+16.5</f>
        <v>279.5</v>
      </c>
      <c r="D53" s="51">
        <v>65</v>
      </c>
      <c r="E53" s="70">
        <f>F53/D53*C53</f>
        <v>107.5</v>
      </c>
      <c r="F53" s="51">
        <v>25</v>
      </c>
      <c r="G53" s="70">
        <f>H53/D53*C53</f>
        <v>129</v>
      </c>
      <c r="H53" s="51">
        <v>30</v>
      </c>
      <c r="I53" s="71">
        <f>J53/D53*C53</f>
        <v>43</v>
      </c>
      <c r="J53" s="51">
        <v>10</v>
      </c>
    </row>
    <row r="54" spans="1:20" x14ac:dyDescent="0.25">
      <c r="A54" s="45"/>
      <c r="B54" t="s">
        <v>52</v>
      </c>
      <c r="C54" s="28">
        <v>12</v>
      </c>
      <c r="D54" s="48">
        <f>C54/R4</f>
        <v>2.5887030303030301</v>
      </c>
      <c r="E54" s="28">
        <f>C54</f>
        <v>12</v>
      </c>
      <c r="F54" s="48">
        <f>D54</f>
        <v>2.5887030303030301</v>
      </c>
      <c r="G54" s="28"/>
      <c r="H54" s="48"/>
      <c r="I54" s="26"/>
      <c r="J54" s="48"/>
    </row>
    <row r="55" spans="1:20" x14ac:dyDescent="0.25">
      <c r="A55" s="34"/>
      <c r="B55" s="57" t="s">
        <v>59</v>
      </c>
      <c r="C55" s="58">
        <f>900/2</f>
        <v>450</v>
      </c>
      <c r="D55" s="59">
        <f>197.1/2</f>
        <v>98.55</v>
      </c>
      <c r="E55" s="58">
        <f>C55/5*2</f>
        <v>180</v>
      </c>
      <c r="F55" s="59">
        <f>D55/5*2</f>
        <v>39.42</v>
      </c>
      <c r="G55" s="58">
        <f>C55/5*2</f>
        <v>180</v>
      </c>
      <c r="H55" s="59">
        <f>D55/5*2</f>
        <v>39.42</v>
      </c>
      <c r="I55" s="60">
        <f>C55/5</f>
        <v>90</v>
      </c>
      <c r="J55" s="59">
        <f>D55/5</f>
        <v>19.71</v>
      </c>
    </row>
    <row r="56" spans="1:20" ht="17.25" x14ac:dyDescent="0.25">
      <c r="A56" s="43"/>
      <c r="C56" s="28"/>
      <c r="D56" s="48"/>
      <c r="E56" s="28"/>
      <c r="F56" s="48"/>
      <c r="G56" s="28"/>
      <c r="H56" s="48"/>
      <c r="I56" s="26"/>
      <c r="J56" s="48"/>
      <c r="M56" s="1" t="s">
        <v>99</v>
      </c>
      <c r="N56" s="1"/>
      <c r="O56" s="1"/>
      <c r="P56" s="1"/>
      <c r="Q56" s="1"/>
      <c r="R56" s="1"/>
      <c r="S56" s="1"/>
      <c r="T56" s="1"/>
    </row>
    <row r="57" spans="1:20" x14ac:dyDescent="0.25">
      <c r="A57" s="43">
        <v>45067</v>
      </c>
      <c r="B57" t="s">
        <v>53</v>
      </c>
      <c r="C57" s="28">
        <v>18.5</v>
      </c>
      <c r="D57" s="48">
        <f>C57/R4</f>
        <v>3.9909171717171712</v>
      </c>
      <c r="E57" s="28">
        <f>C57</f>
        <v>18.5</v>
      </c>
      <c r="F57" s="48">
        <f>D57</f>
        <v>3.9909171717171712</v>
      </c>
      <c r="G57" s="28"/>
      <c r="H57" s="48"/>
      <c r="I57" s="26"/>
      <c r="J57" s="48"/>
    </row>
    <row r="58" spans="1:20" x14ac:dyDescent="0.25">
      <c r="A58" s="45"/>
      <c r="B58" s="5" t="s">
        <v>54</v>
      </c>
      <c r="C58" s="27">
        <v>20</v>
      </c>
      <c r="D58" s="47">
        <v>4.47</v>
      </c>
      <c r="E58" s="27">
        <f>C58/5*2</f>
        <v>8</v>
      </c>
      <c r="F58" s="47">
        <f>D58/5*2</f>
        <v>1.7879999999999998</v>
      </c>
      <c r="G58" s="27">
        <f>C58/5*2</f>
        <v>8</v>
      </c>
      <c r="H58" s="47">
        <f>D58/5*2</f>
        <v>1.7879999999999998</v>
      </c>
      <c r="I58" s="23">
        <f>C58/5</f>
        <v>4</v>
      </c>
      <c r="J58" s="47">
        <f>D58/5</f>
        <v>0.89399999999999991</v>
      </c>
    </row>
    <row r="59" spans="1:20" x14ac:dyDescent="0.25">
      <c r="A59" s="45"/>
      <c r="B59" t="s">
        <v>55</v>
      </c>
      <c r="C59" s="28">
        <v>4</v>
      </c>
      <c r="D59" s="48">
        <f>C59/R4</f>
        <v>0.86290101010100995</v>
      </c>
      <c r="E59" s="28">
        <f>C59</f>
        <v>4</v>
      </c>
      <c r="F59" s="48">
        <f>D59</f>
        <v>0.86290101010100995</v>
      </c>
      <c r="G59" s="28"/>
      <c r="H59" s="48"/>
      <c r="I59" s="26"/>
      <c r="J59" s="48"/>
    </row>
    <row r="60" spans="1:20" x14ac:dyDescent="0.25">
      <c r="A60" s="45"/>
      <c r="B60" s="5" t="s">
        <v>56</v>
      </c>
      <c r="C60" s="22" t="s">
        <v>7</v>
      </c>
      <c r="D60" s="47">
        <v>6.2</v>
      </c>
      <c r="E60" s="22" t="s">
        <v>7</v>
      </c>
      <c r="F60" s="47">
        <f>D60/2</f>
        <v>3.1</v>
      </c>
      <c r="G60" s="22" t="s">
        <v>7</v>
      </c>
      <c r="H60" s="47">
        <f>D60/4</f>
        <v>1.55</v>
      </c>
      <c r="I60" s="24" t="s">
        <v>7</v>
      </c>
      <c r="J60" s="47">
        <f>D60/4</f>
        <v>1.55</v>
      </c>
    </row>
    <row r="61" spans="1:20" x14ac:dyDescent="0.25">
      <c r="A61" s="45"/>
      <c r="C61" s="28"/>
      <c r="D61" s="48"/>
      <c r="E61" s="28"/>
      <c r="F61" s="48"/>
      <c r="G61" s="28"/>
      <c r="H61" s="48"/>
      <c r="I61" s="26"/>
      <c r="J61" s="48"/>
    </row>
    <row r="62" spans="1:20" x14ac:dyDescent="0.25">
      <c r="A62" s="45"/>
      <c r="B62" s="11" t="s">
        <v>60</v>
      </c>
      <c r="C62" s="32" t="s">
        <v>7</v>
      </c>
      <c r="D62" s="51">
        <f>F62+H62+J62</f>
        <v>492.9</v>
      </c>
      <c r="E62" s="35" t="s">
        <v>7</v>
      </c>
      <c r="F62" s="51">
        <v>186.06</v>
      </c>
      <c r="G62" s="32" t="s">
        <v>7</v>
      </c>
      <c r="H62" s="51">
        <v>204.56</v>
      </c>
      <c r="I62" s="12" t="s">
        <v>7</v>
      </c>
      <c r="J62" s="51">
        <f>50.3+51.98</f>
        <v>102.28</v>
      </c>
    </row>
    <row r="63" spans="1:20" x14ac:dyDescent="0.25">
      <c r="A63" s="34"/>
      <c r="B63" s="9"/>
      <c r="C63" s="34"/>
      <c r="D63" s="52"/>
      <c r="E63" s="34"/>
      <c r="F63" s="52"/>
      <c r="G63" s="34"/>
      <c r="H63" s="52"/>
      <c r="I63" s="9"/>
      <c r="J63" s="52"/>
    </row>
    <row r="64" spans="1:20" x14ac:dyDescent="0.25">
      <c r="A64" s="45"/>
      <c r="C64" s="28"/>
      <c r="D64" s="48"/>
      <c r="E64" s="28"/>
      <c r="F64" s="48"/>
      <c r="G64" s="28"/>
      <c r="H64" s="48"/>
      <c r="I64" s="26"/>
      <c r="J64" s="48"/>
    </row>
    <row r="65" spans="1:10" x14ac:dyDescent="0.25">
      <c r="A65" s="45"/>
      <c r="B65" t="s">
        <v>61</v>
      </c>
      <c r="C65" s="61">
        <f>SUM(C5:C63)</f>
        <v>6021.8599999999988</v>
      </c>
      <c r="D65" s="48">
        <f>SUM(D5:D63)</f>
        <v>1879.2468460606065</v>
      </c>
      <c r="E65" s="61">
        <f>SUM(E5:E63)</f>
        <v>2660.1680000000001</v>
      </c>
      <c r="F65" s="48">
        <f t="shared" ref="F65:J65" si="0">SUM(F5:F63)</f>
        <v>796.49138057322489</v>
      </c>
      <c r="G65" s="61">
        <f t="shared" si="0"/>
        <v>2262.4679999999998</v>
      </c>
      <c r="H65" s="48">
        <f t="shared" si="0"/>
        <v>725.64579524676151</v>
      </c>
      <c r="I65" s="62">
        <f t="shared" si="0"/>
        <v>1098.634</v>
      </c>
      <c r="J65" s="48">
        <f t="shared" si="0"/>
        <v>356.97901205880135</v>
      </c>
    </row>
    <row r="66" spans="1:10" x14ac:dyDescent="0.25">
      <c r="A66" s="45"/>
      <c r="C66" s="61" t="s">
        <v>4</v>
      </c>
      <c r="D66" s="48" t="s">
        <v>5</v>
      </c>
      <c r="E66" s="61" t="s">
        <v>4</v>
      </c>
      <c r="F66" s="48" t="s">
        <v>5</v>
      </c>
      <c r="G66" s="61" t="s">
        <v>4</v>
      </c>
      <c r="H66" s="48" t="s">
        <v>5</v>
      </c>
      <c r="I66" s="62" t="s">
        <v>4</v>
      </c>
      <c r="J66" s="48" t="s">
        <v>5</v>
      </c>
    </row>
    <row r="67" spans="1:10" x14ac:dyDescent="0.25">
      <c r="B67" t="s">
        <v>97</v>
      </c>
      <c r="C67" s="4"/>
      <c r="D67" s="4"/>
      <c r="E67" s="4"/>
      <c r="F67" s="4">
        <f>F65/2</f>
        <v>398.24569028661244</v>
      </c>
      <c r="G67" s="4"/>
      <c r="H67" s="4">
        <f>H65/2</f>
        <v>362.82289762338075</v>
      </c>
      <c r="I67" s="4"/>
      <c r="J67" s="4"/>
    </row>
    <row r="68" spans="1:10" x14ac:dyDescent="0.25">
      <c r="C68" s="4"/>
      <c r="D68" s="4"/>
      <c r="E68" s="4"/>
      <c r="F68" s="4" t="s">
        <v>98</v>
      </c>
      <c r="G68" s="4"/>
      <c r="H68" s="4" t="s">
        <v>98</v>
      </c>
      <c r="I68" s="4"/>
      <c r="J68" s="4"/>
    </row>
    <row r="69" spans="1:10" x14ac:dyDescent="0.25">
      <c r="C69" s="4"/>
      <c r="D69" s="4"/>
      <c r="E69" s="4"/>
      <c r="F69" s="4"/>
      <c r="G69" s="4"/>
      <c r="H69" s="4"/>
      <c r="I69" s="4"/>
      <c r="J69" s="4"/>
    </row>
    <row r="70" spans="1:10" x14ac:dyDescent="0.25">
      <c r="B70" s="14" t="s">
        <v>78</v>
      </c>
      <c r="C70" s="14"/>
      <c r="D70" s="14"/>
      <c r="E70" s="14"/>
      <c r="F70" s="14"/>
      <c r="G70" s="14"/>
      <c r="H70" s="14"/>
      <c r="I70" s="14"/>
      <c r="J70" s="14"/>
    </row>
    <row r="71" spans="1:10" x14ac:dyDescent="0.25">
      <c r="B71" s="14" t="s">
        <v>79</v>
      </c>
      <c r="C71" s="14"/>
      <c r="D71" s="14"/>
      <c r="E71" s="14"/>
      <c r="F71" s="14"/>
      <c r="G71" s="14"/>
      <c r="H71" s="14"/>
      <c r="I71" s="14"/>
      <c r="J71" s="14"/>
    </row>
    <row r="72" spans="1:10" x14ac:dyDescent="0.25">
      <c r="C72" s="4"/>
      <c r="D72" s="4"/>
      <c r="E72" s="4"/>
      <c r="F72" s="4"/>
      <c r="G72" s="4"/>
      <c r="H72" s="4"/>
      <c r="I72" s="4"/>
      <c r="J72" s="4"/>
    </row>
    <row r="73" spans="1:10" x14ac:dyDescent="0.25">
      <c r="C73" s="4"/>
      <c r="D73" s="4"/>
      <c r="E73" s="4"/>
      <c r="F73" s="4"/>
      <c r="G73" s="4"/>
      <c r="H73" s="4"/>
      <c r="I73" s="4"/>
      <c r="J73" s="4"/>
    </row>
    <row r="74" spans="1:10" x14ac:dyDescent="0.25">
      <c r="C74" s="4"/>
      <c r="D74" s="4"/>
      <c r="E74" s="4"/>
      <c r="F74" s="4"/>
      <c r="G74" s="4"/>
      <c r="H74" s="4"/>
      <c r="I74" s="4"/>
      <c r="J74" s="4"/>
    </row>
    <row r="75" spans="1:10" x14ac:dyDescent="0.25">
      <c r="C75" s="4"/>
      <c r="D75" s="4"/>
      <c r="E75" s="4"/>
      <c r="F75" s="4"/>
      <c r="G75" s="4"/>
      <c r="H75" s="4"/>
      <c r="I75" s="4"/>
      <c r="J75" s="4"/>
    </row>
    <row r="76" spans="1:10" x14ac:dyDescent="0.25">
      <c r="C76" s="4"/>
      <c r="D76" s="4"/>
      <c r="E76" s="4"/>
      <c r="F76" s="4"/>
      <c r="G76" s="4"/>
      <c r="H76" s="4"/>
      <c r="I76" s="4"/>
      <c r="J76" s="4"/>
    </row>
    <row r="77" spans="1:10" x14ac:dyDescent="0.25">
      <c r="C77" s="4"/>
      <c r="D77" s="4"/>
      <c r="E77" s="4"/>
      <c r="F77" s="4"/>
      <c r="G77" s="4"/>
      <c r="H77" s="4"/>
      <c r="I77" s="4"/>
      <c r="J77" s="4"/>
    </row>
    <row r="78" spans="1:10" x14ac:dyDescent="0.25">
      <c r="C78" s="4"/>
      <c r="D78" s="4"/>
      <c r="E78" s="4"/>
      <c r="F78" s="4"/>
      <c r="G78" s="4"/>
      <c r="H78" s="4"/>
      <c r="I78" s="4"/>
      <c r="J78" s="4"/>
    </row>
    <row r="79" spans="1:10" x14ac:dyDescent="0.25">
      <c r="C79" s="4"/>
      <c r="D79" s="4"/>
      <c r="E79" s="4"/>
      <c r="F79" s="4"/>
      <c r="G79" s="4"/>
      <c r="H79" s="4"/>
      <c r="I79" s="4"/>
      <c r="J79" s="4"/>
    </row>
    <row r="80" spans="1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</sheetData>
  <mergeCells count="17">
    <mergeCell ref="B71:J71"/>
    <mergeCell ref="A1:R1"/>
    <mergeCell ref="M56:T56"/>
    <mergeCell ref="B70:J70"/>
    <mergeCell ref="N20:P20"/>
    <mergeCell ref="N19:Q19"/>
    <mergeCell ref="N18:Q18"/>
    <mergeCell ref="N17:Q17"/>
    <mergeCell ref="M3:Q3"/>
    <mergeCell ref="P4:P5"/>
    <mergeCell ref="R4:R5"/>
    <mergeCell ref="Q4:Q5"/>
    <mergeCell ref="M8:N8"/>
    <mergeCell ref="E3:F3"/>
    <mergeCell ref="G3:H3"/>
    <mergeCell ref="I3:J3"/>
    <mergeCell ref="C3:D3"/>
  </mergeCell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2023-05-22T18:29:25Z</dcterms:created>
  <dcterms:modified xsi:type="dcterms:W3CDTF">2023-05-22T21:18:02Z</dcterms:modified>
</cp:coreProperties>
</file>