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Reisen (Rohdaten verschieben)\Homepage_neu\_Daten\"/>
    </mc:Choice>
  </mc:AlternateContent>
  <bookViews>
    <workbookView xWindow="0" yWindow="0" windowWidth="28800" windowHeight="12435" activeTab="1"/>
  </bookViews>
  <sheets>
    <sheet name="Ausgaben" sheetId="1" r:id="rId1"/>
    <sheet name="Statistik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  <c r="B9" i="2"/>
  <c r="B7" i="2"/>
  <c r="P74" i="1"/>
  <c r="B14" i="2" s="1"/>
  <c r="C4" i="2"/>
  <c r="D4" i="2" s="1"/>
  <c r="J13" i="1" l="1"/>
  <c r="J78" i="1"/>
  <c r="J71" i="1"/>
  <c r="J73" i="1"/>
  <c r="B8" i="2" l="1"/>
  <c r="D7" i="2" s="1"/>
  <c r="J74" i="1"/>
  <c r="Q73" i="1"/>
  <c r="L62" i="1"/>
  <c r="L61" i="1"/>
  <c r="B11" i="2" s="1"/>
  <c r="F63" i="1" l="1"/>
  <c r="Q63" i="1" s="1"/>
  <c r="F59" i="1"/>
  <c r="F60" i="1"/>
  <c r="L53" i="1"/>
  <c r="L57" i="1"/>
  <c r="F64" i="1" l="1"/>
  <c r="F56" i="1"/>
  <c r="Q59" i="1" s="1"/>
  <c r="F52" i="1"/>
  <c r="Q67" i="1" l="1"/>
  <c r="Q55" i="1"/>
  <c r="L48" i="1"/>
  <c r="Q51" i="1" l="1"/>
  <c r="Q47" i="1" l="1"/>
  <c r="L37" i="1" l="1"/>
  <c r="L36" i="1"/>
  <c r="F40" i="1"/>
  <c r="N36" i="1"/>
  <c r="F36" i="1"/>
  <c r="Q39" i="1" l="1"/>
  <c r="Q43" i="1"/>
  <c r="L34" i="1"/>
  <c r="F32" i="1"/>
  <c r="Q35" i="1" s="1"/>
  <c r="H78" i="1" l="1"/>
  <c r="L74" i="1"/>
  <c r="B12" i="2"/>
  <c r="D11" i="2" s="1"/>
  <c r="F28" i="1"/>
  <c r="Q31" i="1" s="1"/>
  <c r="F24" i="1" l="1"/>
  <c r="Q27" i="1" s="1"/>
  <c r="F20" i="1" l="1"/>
  <c r="N20" i="1"/>
  <c r="Q23" i="1" l="1"/>
  <c r="F16" i="1"/>
  <c r="Q19" i="1" l="1"/>
  <c r="H76" i="1"/>
  <c r="N12" i="1"/>
  <c r="N74" i="1" s="1"/>
  <c r="B13" i="2" s="1"/>
  <c r="F12" i="1"/>
  <c r="H77" i="1" s="1"/>
  <c r="Q11" i="1"/>
  <c r="F4" i="1"/>
  <c r="Q7" i="1" l="1"/>
  <c r="F74" i="1"/>
  <c r="B6" i="2" s="1"/>
  <c r="H79" i="1"/>
  <c r="Q15" i="1"/>
  <c r="Q74" i="1" s="1"/>
</calcChain>
</file>

<file path=xl/comments1.xml><?xml version="1.0" encoding="utf-8"?>
<comments xmlns="http://schemas.openxmlformats.org/spreadsheetml/2006/main">
  <authors>
    <author>Christoph</author>
    <author>tc={DDD7DAEA-5F4D-4B8C-B259-174BBD703575}</author>
    <author>Kenn, Christoph (I/EE-62)</author>
  </authors>
  <commentList>
    <comment ref="G17" authorId="0" shapeId="0">
      <text>
        <r>
          <rPr>
            <sz val="9"/>
            <color indexed="81"/>
            <rFont val="Segoe UI"/>
            <family val="2"/>
          </rPr>
          <t>bis 19 Uhr zu zahlen, danach kostenlos</t>
        </r>
      </text>
    </comment>
    <comment ref="K36" authorId="1" shapeId="0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incl. Trinkgeld 2,50 EUR</t>
        </r>
      </text>
    </comment>
    <comment ref="E59" authorId="2" shapeId="0">
      <text>
        <r>
          <rPr>
            <b/>
            <sz val="9"/>
            <color indexed="81"/>
            <rFont val="Segoe UI"/>
            <family val="2"/>
          </rPr>
          <t>Kurtaxe</t>
        </r>
      </text>
    </comment>
    <comment ref="E63" authorId="2" shapeId="0">
      <text>
        <r>
          <rPr>
            <b/>
            <sz val="9"/>
            <color indexed="81"/>
            <rFont val="Segoe UI"/>
            <family val="2"/>
          </rPr>
          <t>Kurtaxe</t>
        </r>
      </text>
    </comment>
  </commentList>
</comments>
</file>

<file path=xl/sharedStrings.xml><?xml version="1.0" encoding="utf-8"?>
<sst xmlns="http://schemas.openxmlformats.org/spreadsheetml/2006/main" count="235" uniqueCount="185">
  <si>
    <t>Hotel</t>
  </si>
  <si>
    <t>Zimmerpreis</t>
  </si>
  <si>
    <t>Liter</t>
  </si>
  <si>
    <t>Liter-Preis</t>
  </si>
  <si>
    <t>Ges-Summe</t>
  </si>
  <si>
    <t>2 Ave André Bourvil</t>
  </si>
  <si>
    <t>51430 Reims</t>
  </si>
  <si>
    <t>Ausstattung</t>
  </si>
  <si>
    <t>DZ mit Bad,</t>
  </si>
  <si>
    <t>DB, Etagenbett,</t>
  </si>
  <si>
    <t>Frühstück</t>
  </si>
  <si>
    <t>Maut A4 bis Metz</t>
  </si>
  <si>
    <t>Maut Metz-Reims</t>
  </si>
  <si>
    <t>Tankstelle Carrefour Reims</t>
  </si>
  <si>
    <t>DZ mit Gem-Bad,</t>
  </si>
  <si>
    <t>DB-EB-Etagenbett</t>
  </si>
  <si>
    <t>Etretat Trampolin Thea</t>
  </si>
  <si>
    <t>Maut Etretat-Caen</t>
  </si>
  <si>
    <t>Maut Pont de Normandy</t>
  </si>
  <si>
    <t>Maut A29-A13</t>
  </si>
  <si>
    <t>Maut A13</t>
  </si>
  <si>
    <t>Hotel Reims Tinqueux (Futur F1)</t>
  </si>
  <si>
    <t>Hotel F1 Avranches Baie du Mont St Michel</t>
  </si>
  <si>
    <t>49 Rue des Estuaires</t>
  </si>
  <si>
    <t>50220 Sain-Quentin-sur-le-Homme</t>
  </si>
  <si>
    <t>Premiere Classe Vannes</t>
  </si>
  <si>
    <t>Zac du Chapeau Rouge</t>
  </si>
  <si>
    <t>56000 Vannes</t>
  </si>
  <si>
    <t>Mittagessen Kebab House Etretat</t>
  </si>
  <si>
    <t>Abendessen McDonalds Vannes</t>
  </si>
  <si>
    <t>Mont Saint Michel Kloster</t>
  </si>
  <si>
    <t>Hotel F1 Angers Ouest - Beaucouzé</t>
  </si>
  <si>
    <t>Rue du Cèdre, Centre d´Activités du Pin</t>
  </si>
  <si>
    <t>49070 Beaucozé</t>
  </si>
  <si>
    <t>Einkauf Lidl Saint Quentin</t>
  </si>
  <si>
    <t>Einkauf Lidl Carnac</t>
  </si>
  <si>
    <t>Apotheke Carnac, 2x Medikamente</t>
  </si>
  <si>
    <t>Sonstiges</t>
  </si>
  <si>
    <t>Chateau Brissac</t>
  </si>
  <si>
    <t>Chateau Montreuil-Bellay</t>
  </si>
  <si>
    <t>Abendessen Santosha Angers</t>
  </si>
  <si>
    <t>Bew.</t>
  </si>
  <si>
    <t>Tages- ausgaben</t>
  </si>
  <si>
    <t>Trinkgeld Santosha Angers</t>
  </si>
  <si>
    <t>2x Rosé Wein Chateau Brissac</t>
  </si>
  <si>
    <t>Tel. +33-891705160</t>
  </si>
  <si>
    <t>Maut Angers-Nantes</t>
  </si>
  <si>
    <t>Maut Nantes-Angers</t>
  </si>
  <si>
    <t>Maut Nantes-Bordeaux</t>
  </si>
  <si>
    <t>Tankstelle Carrefour  Dinan</t>
  </si>
  <si>
    <t>Schwimmbad Nantes</t>
  </si>
  <si>
    <t>Mittagessen Au Maronnier Nantes</t>
  </si>
  <si>
    <t>Trinkgeld Au Maronnier Nantes</t>
  </si>
  <si>
    <t>Einkauf Carrefour Bordeaux</t>
  </si>
  <si>
    <t>Ibis Budet Bordeaux Centre Bastide</t>
  </si>
  <si>
    <t>26 Allée Serr</t>
  </si>
  <si>
    <t>33100 Bordeaux</t>
  </si>
  <si>
    <t>Tel. +33-556406929</t>
  </si>
  <si>
    <t>AC</t>
  </si>
  <si>
    <t>DB-EB-Etagenbett,</t>
  </si>
  <si>
    <t>Parken Nantes Kathedrale</t>
  </si>
  <si>
    <t>Snack 100 Montaditos Bordeaux</t>
  </si>
  <si>
    <t>Trinkgeld 100 Montaditos Bordeaux</t>
  </si>
  <si>
    <t>Straßenmusiker</t>
  </si>
  <si>
    <t>Le Pré Joli</t>
  </si>
  <si>
    <t>2821 Route de Canon Lieu Dit Moucheyroux</t>
  </si>
  <si>
    <t>47290 Beaugas</t>
  </si>
  <si>
    <t>Tel. +33-553017862</t>
  </si>
  <si>
    <t>Zimmer mit Bad,</t>
  </si>
  <si>
    <t>DB, 2 EB, AC,</t>
  </si>
  <si>
    <t>Pool, Frühstück</t>
  </si>
  <si>
    <t>Lolli Thea</t>
  </si>
  <si>
    <t>Tankstelle Carrefour Bordeaux</t>
  </si>
  <si>
    <t>Mittagessen Mon Petit Rest Soillac</t>
  </si>
  <si>
    <t>Snacks Café du Chateau Rocamadour</t>
  </si>
  <si>
    <t>Einkauf Lidl Carcassone</t>
  </si>
  <si>
    <t>Maut Montauban</t>
  </si>
  <si>
    <t>Maut Toulouse</t>
  </si>
  <si>
    <t>Maut Carcassone</t>
  </si>
  <si>
    <t>Ibis Budget Carcassone La Cité</t>
  </si>
  <si>
    <t>211 Ave du General Leclerc</t>
  </si>
  <si>
    <t>11000 Carcassone</t>
  </si>
  <si>
    <t>Tel. +33-892680914</t>
  </si>
  <si>
    <t>Hotel Serhs Cosmos</t>
  </si>
  <si>
    <t>Avinguda Escoles 10 Escaldes-Engordany</t>
  </si>
  <si>
    <t>AD700 Andorra-la-Vella</t>
  </si>
  <si>
    <t>Tel. +376-870750</t>
  </si>
  <si>
    <t>DB, Einzelbett,</t>
  </si>
  <si>
    <t>Balkon, Pool</t>
  </si>
  <si>
    <t>Stadtmauer Carcassone</t>
  </si>
  <si>
    <t>Mittagessen Le Bistro Fruit Carcassone</t>
  </si>
  <si>
    <t>Frühstück Cosmos Hotel Andorra</t>
  </si>
  <si>
    <t>Abendessen Cosmos Hotel Andorra</t>
  </si>
  <si>
    <t>Einkauf Snacks Carrefour Andorra</t>
  </si>
  <si>
    <t>Einkauf Getränke Carrefour Andorra</t>
  </si>
  <si>
    <t>Tankstelle Andorra</t>
  </si>
  <si>
    <t>Abendessen Döner Carcassone</t>
  </si>
  <si>
    <t>Ibis Budget Arles Palais des Congres</t>
  </si>
  <si>
    <t>Ave de la 1ère Division</t>
  </si>
  <si>
    <t>13200 Arles</t>
  </si>
  <si>
    <t>Tel. +33-892680861</t>
  </si>
  <si>
    <t>AC, Pool</t>
  </si>
  <si>
    <t>Maut Carcassone-Remoulins</t>
  </si>
  <si>
    <t>Mittagessen McDonalds Remoulins</t>
  </si>
  <si>
    <t>Einkauf Lidl Arles</t>
  </si>
  <si>
    <t>Premiere Classe Avignon Courtine Gare TGV</t>
  </si>
  <si>
    <t>Zac de Courtine, 255 Chemin de Ramatuelle</t>
  </si>
  <si>
    <t>84000 Avignon</t>
  </si>
  <si>
    <t>Tel. +33-490273515</t>
  </si>
  <si>
    <t>3 Einzelbetten,</t>
  </si>
  <si>
    <t>Tankstelle Carrefour Avignon</t>
  </si>
  <si>
    <t>Mittagessen Loc Anh Avignon</t>
  </si>
  <si>
    <t>Einkauf Lidl l`Isle-sur-la-Sorgue</t>
  </si>
  <si>
    <t>Camping Municipal le Galetas</t>
  </si>
  <si>
    <t>GPS 43°47'46.5"N 6°14'34.8"E</t>
  </si>
  <si>
    <t>Auguines</t>
  </si>
  <si>
    <t>Platz für Zelt und</t>
  </si>
  <si>
    <t>Fahrzeug, Sanitär-</t>
  </si>
  <si>
    <t>anlagen</t>
  </si>
  <si>
    <t>Mittagessen Bistro Roussillon</t>
  </si>
  <si>
    <t>Lavendel-Produkte</t>
  </si>
  <si>
    <t>Einkauf Carrefour Express</t>
  </si>
  <si>
    <t>Ibis Budget Nice Aeroport</t>
  </si>
  <si>
    <t>455 Promenade des Anglais</t>
  </si>
  <si>
    <t>06200 Nizza</t>
  </si>
  <si>
    <t>Tel. +33-892680649</t>
  </si>
  <si>
    <t>Casa Tainin</t>
  </si>
  <si>
    <t>Via delle Alpi 21 Cornarolo via G. Verdi 45</t>
  </si>
  <si>
    <t>18020 Pantasina</t>
  </si>
  <si>
    <t>Tel. +39-3402395898</t>
  </si>
  <si>
    <t>Einkauf Lidl Cagnes-sur-Mer</t>
  </si>
  <si>
    <t>Abendessen Le Labo Cagnes-sur-Mer</t>
  </si>
  <si>
    <t>Einkauf Aldi Oppede</t>
  </si>
  <si>
    <t>Sentier des Ocres Roussillon</t>
  </si>
  <si>
    <t>Pont du Gard</t>
  </si>
  <si>
    <t>Tram Nizza Airport-Innenstadt</t>
  </si>
  <si>
    <t>Tram Nizza Innenstadt-Airport</t>
  </si>
  <si>
    <t>Einkauf Getränke Spar Nizza</t>
  </si>
  <si>
    <t>Einkauf Snacks Markt Nizza</t>
  </si>
  <si>
    <t>2 Gewürzmühlen Markt Nizza</t>
  </si>
  <si>
    <t>Tankstelle Total Nizza</t>
  </si>
  <si>
    <t>Einkauf Lidl Nizza</t>
  </si>
  <si>
    <t>Haus mit Küche,</t>
  </si>
  <si>
    <t>Bad, DB, Sofabett,</t>
  </si>
  <si>
    <t>Dachterrasse</t>
  </si>
  <si>
    <t>Einkauf Lidl Ventimiglia</t>
  </si>
  <si>
    <t>Parken Mont Saint Michel (Tag)</t>
  </si>
  <si>
    <t>Parken Promenade Cagnes (1.5 h)</t>
  </si>
  <si>
    <t>Parken Andorra la Vella (~15 h)</t>
  </si>
  <si>
    <t>Parken Menton (1.25 h)</t>
  </si>
  <si>
    <t>Vignette Schweiz</t>
  </si>
  <si>
    <t>Maut Genua-Milano</t>
  </si>
  <si>
    <t>Maut Milano</t>
  </si>
  <si>
    <t>Maut Milano-Como</t>
  </si>
  <si>
    <t>Tankstelle JET Hard</t>
  </si>
  <si>
    <t>Tankstelle Avanti Gaimersheim</t>
  </si>
  <si>
    <t>Cash:</t>
  </si>
  <si>
    <t>Ist</t>
  </si>
  <si>
    <t>Soll</t>
  </si>
  <si>
    <t>Barclay</t>
  </si>
  <si>
    <t>Hanseatic</t>
  </si>
  <si>
    <t>Datum</t>
  </si>
  <si>
    <t>Einkauf Lidl Gujan Mestras</t>
  </si>
  <si>
    <t>Parken Place Imbach Angers (0.5 h)</t>
  </si>
  <si>
    <t>Ausgaben Frankreich-Rundreise 09.-25.07.2021</t>
  </si>
  <si>
    <t>Start-km</t>
  </si>
  <si>
    <t>End-km</t>
  </si>
  <si>
    <t>getankte Liter</t>
  </si>
  <si>
    <t>Durchschnittsverbrauch l/100 km</t>
  </si>
  <si>
    <t>Hotels</t>
  </si>
  <si>
    <t>Gesamt</t>
  </si>
  <si>
    <t>Transport</t>
  </si>
  <si>
    <t>Einkäufe &amp; Restaurants</t>
  </si>
  <si>
    <t>Programmpunkte / Sehenswürdigkeiten</t>
  </si>
  <si>
    <t>Ernährung</t>
  </si>
  <si>
    <t>Programm</t>
  </si>
  <si>
    <t>Maut</t>
  </si>
  <si>
    <t>Tanken</t>
  </si>
  <si>
    <t>Parken</t>
  </si>
  <si>
    <t>Öff. VM</t>
  </si>
  <si>
    <t>Parken Castelnaud (2 h)</t>
  </si>
  <si>
    <t>Einkaufen</t>
  </si>
  <si>
    <t>Restaurants</t>
  </si>
  <si>
    <t>Trinkgeld Mon Petit Rest Soillac</t>
  </si>
  <si>
    <t>Preis pro Familie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</si>
</sst>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0" tint="-0.499984740745262"/>
      <name val="Calibri"/>
      <family val="2"/>
      <scheme val="minor"/>
    </font>
    <font>
      <sz val="9"/>
      <color indexed="81"/>
      <name val="Segoe U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3CC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2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" xfId="0" applyBorder="1"/>
    <xf numFmtId="2" fontId="0" fillId="0" borderId="13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2" fontId="1" fillId="0" borderId="14" xfId="0" applyNumberFormat="1" applyFont="1" applyBorder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2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3" borderId="18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3" borderId="20" xfId="0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0" fillId="3" borderId="22" xfId="0" applyFill="1" applyBorder="1" applyAlignment="1">
      <alignment vertical="top" wrapText="1"/>
    </xf>
    <xf numFmtId="0" fontId="0" fillId="3" borderId="23" xfId="0" applyFill="1" applyBorder="1" applyAlignment="1">
      <alignment vertical="top" wrapText="1"/>
    </xf>
    <xf numFmtId="2" fontId="0" fillId="3" borderId="24" xfId="0" applyNumberFormat="1" applyFill="1" applyBorder="1" applyAlignment="1">
      <alignment vertical="top" wrapText="1"/>
    </xf>
    <xf numFmtId="0" fontId="0" fillId="3" borderId="25" xfId="0" applyFill="1" applyBorder="1" applyAlignment="1">
      <alignment vertical="top" wrapText="1"/>
    </xf>
    <xf numFmtId="0" fontId="0" fillId="0" borderId="26" xfId="0" applyBorder="1" applyAlignment="1">
      <alignment horizontal="left"/>
    </xf>
    <xf numFmtId="0" fontId="0" fillId="0" borderId="27" xfId="0" applyBorder="1"/>
    <xf numFmtId="0" fontId="0" fillId="0" borderId="28" xfId="0" applyBorder="1" applyAlignment="1">
      <alignment horizontal="left"/>
    </xf>
    <xf numFmtId="2" fontId="0" fillId="0" borderId="27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8" xfId="0" applyBorder="1"/>
    <xf numFmtId="0" fontId="0" fillId="0" borderId="12" xfId="0" applyBorder="1"/>
    <xf numFmtId="2" fontId="0" fillId="0" borderId="5" xfId="0" applyNumberFormat="1" applyBorder="1" applyAlignment="1">
      <alignment horizontal="left"/>
    </xf>
    <xf numFmtId="2" fontId="2" fillId="0" borderId="14" xfId="0" applyNumberFormat="1" applyFont="1" applyBorder="1" applyAlignment="1">
      <alignment horizontal="left"/>
    </xf>
    <xf numFmtId="2" fontId="0" fillId="0" borderId="31" xfId="0" applyNumberForma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2" fontId="0" fillId="0" borderId="36" xfId="0" applyNumberFormat="1" applyBorder="1" applyAlignment="1">
      <alignment horizontal="left"/>
    </xf>
    <xf numFmtId="2" fontId="0" fillId="0" borderId="37" xfId="0" applyNumberFormat="1" applyBorder="1" applyAlignment="1">
      <alignment horizontal="left"/>
    </xf>
    <xf numFmtId="0" fontId="0" fillId="0" borderId="38" xfId="0" applyBorder="1"/>
    <xf numFmtId="0" fontId="0" fillId="0" borderId="37" xfId="0" applyBorder="1"/>
    <xf numFmtId="2" fontId="0" fillId="0" borderId="39" xfId="0" applyNumberForma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15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2" fontId="4" fillId="0" borderId="34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0" fontId="2" fillId="4" borderId="0" xfId="0" applyFont="1" applyFill="1" applyAlignment="1"/>
    <xf numFmtId="0" fontId="0" fillId="5" borderId="0" xfId="0" applyFill="1" applyAlignment="1"/>
    <xf numFmtId="0" fontId="4" fillId="0" borderId="0" xfId="0" applyFont="1"/>
    <xf numFmtId="0" fontId="0" fillId="0" borderId="0" xfId="0" applyFill="1"/>
    <xf numFmtId="2" fontId="0" fillId="0" borderId="12" xfId="0" applyNumberFormat="1" applyFont="1" applyBorder="1" applyAlignment="1">
      <alignment horizontal="left"/>
    </xf>
    <xf numFmtId="0" fontId="0" fillId="0" borderId="39" xfId="0" applyBorder="1"/>
    <xf numFmtId="0" fontId="0" fillId="3" borderId="24" xfId="0" applyFill="1" applyBorder="1" applyAlignment="1">
      <alignment vertical="top"/>
    </xf>
    <xf numFmtId="14" fontId="0" fillId="0" borderId="27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0" fontId="0" fillId="6" borderId="0" xfId="0" applyFill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/>
    <xf numFmtId="2" fontId="2" fillId="0" borderId="0" xfId="0" applyNumberFormat="1" applyFont="1"/>
    <xf numFmtId="2" fontId="4" fillId="0" borderId="0" xfId="0" applyNumberFormat="1" applyFont="1"/>
    <xf numFmtId="0" fontId="0" fillId="0" borderId="6" xfId="0" applyBorder="1"/>
    <xf numFmtId="2" fontId="0" fillId="0" borderId="6" xfId="0" applyNumberFormat="1" applyBorder="1"/>
    <xf numFmtId="0" fontId="1" fillId="0" borderId="0" xfId="0" applyFont="1"/>
    <xf numFmtId="2" fontId="4" fillId="0" borderId="7" xfId="0" applyNumberFormat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2" fontId="7" fillId="2" borderId="0" xfId="0" applyNumberFormat="1" applyFont="1" applyFill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2" fontId="2" fillId="0" borderId="9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33" xfId="0" applyNumberFormat="1" applyFont="1" applyBorder="1" applyAlignment="1">
      <alignment horizontal="left" vertical="center"/>
    </xf>
    <xf numFmtId="2" fontId="0" fillId="0" borderId="7" xfId="0" applyNumberForma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2" fontId="0" fillId="0" borderId="34" xfId="0" applyNumberForma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4" fillId="0" borderId="9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left" vertical="center"/>
    </xf>
    <xf numFmtId="2" fontId="4" fillId="0" borderId="7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2" fontId="0" fillId="0" borderId="14" xfId="0" applyNumberForma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2" fontId="0" fillId="0" borderId="5" xfId="0" applyNumberFormat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4" xfId="0" applyNumberForma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Ausgaben</a:t>
            </a:r>
            <a:r>
              <a:rPr lang="de-DE" baseline="0"/>
              <a:t> pro Familie [EUR]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5"/>
              <c:layout>
                <c:manualLayout>
                  <c:x val="0.13577744969378827"/>
                  <c:y val="-9.967337416156313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2460629921259849E-3"/>
                  <c:y val="3.3701516477107028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Statistik!$A$6:$A$14</c:f>
              <c:strCache>
                <c:ptCount val="9"/>
                <c:pt idx="0">
                  <c:v>Hotels</c:v>
                </c:pt>
                <c:pt idx="1">
                  <c:v>Maut</c:v>
                </c:pt>
                <c:pt idx="2">
                  <c:v>Tanken</c:v>
                </c:pt>
                <c:pt idx="3">
                  <c:v>Parken</c:v>
                </c:pt>
                <c:pt idx="4">
                  <c:v>Öff. VM</c:v>
                </c:pt>
                <c:pt idx="5">
                  <c:v>Einkaufen</c:v>
                </c:pt>
                <c:pt idx="6">
                  <c:v>Restaurants</c:v>
                </c:pt>
                <c:pt idx="7">
                  <c:v>Programm</c:v>
                </c:pt>
                <c:pt idx="8">
                  <c:v>Sonstiges</c:v>
                </c:pt>
              </c:strCache>
            </c:strRef>
          </c:cat>
          <c:val>
            <c:numRef>
              <c:f>Statistik!$B$6:$B$14</c:f>
              <c:numCache>
                <c:formatCode>0.00</c:formatCode>
                <c:ptCount val="9"/>
                <c:pt idx="0">
                  <c:v>859.7700000000001</c:v>
                </c:pt>
                <c:pt idx="1">
                  <c:v>187.7</c:v>
                </c:pt>
                <c:pt idx="2">
                  <c:v>554.65701999999999</c:v>
                </c:pt>
                <c:pt idx="3">
                  <c:v>37.000000000000007</c:v>
                </c:pt>
                <c:pt idx="4">
                  <c:v>6</c:v>
                </c:pt>
                <c:pt idx="5">
                  <c:v>198.75</c:v>
                </c:pt>
                <c:pt idx="6">
                  <c:v>407.4</c:v>
                </c:pt>
                <c:pt idx="7">
                  <c:v>115.4</c:v>
                </c:pt>
                <c:pt idx="8">
                  <c:v>72.699999999999989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Ausgaben pro</a:t>
            </a:r>
            <a:r>
              <a:rPr lang="de-DE" baseline="0"/>
              <a:t> Familie [EUR]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7"/>
              <c:layout/>
              <c:tx>
                <c:rich>
                  <a:bodyPr/>
                  <a:lstStyle/>
                  <a:p>
                    <a:fld id="{35044404-E8BC-4E19-B2CB-97C9FF960A5D}" type="VALUE">
                      <a:rPr lang="en-US"/>
                      <a:pPr/>
                      <a:t>[WERT]</a:t>
                    </a:fld>
                    <a:r>
                      <a:rPr lang="en-US"/>
                      <a:t>0</a:t>
                    </a:r>
                    <a:r>
                      <a:rPr lang="en-US" baseline="0"/>
                      <a:t>; </a:t>
                    </a:r>
                    <a:fld id="{8D6F27CE-D7A7-4AA0-B018-0C1AF9DDE1FE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5.4410542432195924E-2"/>
                  <c:y val="-2.3730679498396034E-2"/>
                </c:manualLayout>
              </c:layout>
              <c:tx>
                <c:rich>
                  <a:bodyPr/>
                  <a:lstStyle/>
                  <a:p>
                    <a:fld id="{2F985CDA-C8DE-4550-BA75-6FE3164B5A50}" type="VALUE">
                      <a:rPr lang="en-US"/>
                      <a:pPr/>
                      <a:t>[WERT]</a:t>
                    </a:fld>
                    <a:r>
                      <a:rPr lang="en-US"/>
                      <a:t>0</a:t>
                    </a:r>
                    <a:r>
                      <a:rPr lang="en-US" baseline="0"/>
                      <a:t>; </a:t>
                    </a:r>
                    <a:fld id="{DC6F0F89-6C36-4DAB-9CEB-5AC83AE39AC4}" type="PERCENTAGE">
                      <a:rPr lang="en-US" baseline="0"/>
                      <a:pPr/>
                      <a:t>[PROZENTSATZ]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Statistik!$C$6:$C$14</c:f>
              <c:strCache>
                <c:ptCount val="9"/>
                <c:pt idx="0">
                  <c:v>Hotels</c:v>
                </c:pt>
                <c:pt idx="1">
                  <c:v>Transport</c:v>
                </c:pt>
                <c:pt idx="5">
                  <c:v>Ernährung</c:v>
                </c:pt>
                <c:pt idx="7">
                  <c:v>Programm</c:v>
                </c:pt>
                <c:pt idx="8">
                  <c:v>Sonstiges</c:v>
                </c:pt>
              </c:strCache>
            </c:strRef>
          </c:cat>
          <c:val>
            <c:numRef>
              <c:f>Statistik!$D$6:$D$14</c:f>
              <c:numCache>
                <c:formatCode>0.00</c:formatCode>
                <c:ptCount val="9"/>
                <c:pt idx="0" formatCode="General">
                  <c:v>859.77</c:v>
                </c:pt>
                <c:pt idx="1">
                  <c:v>785.35701999999992</c:v>
                </c:pt>
                <c:pt idx="5">
                  <c:v>606.15</c:v>
                </c:pt>
                <c:pt idx="7" formatCode="General">
                  <c:v>115.4</c:v>
                </c:pt>
                <c:pt idx="8" formatCode="General">
                  <c:v>72.7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4</xdr:row>
      <xdr:rowOff>185737</xdr:rowOff>
    </xdr:from>
    <xdr:to>
      <xdr:col>10</xdr:col>
      <xdr:colOff>142875</xdr:colOff>
      <xdr:row>19</xdr:row>
      <xdr:rowOff>71437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185737</xdr:rowOff>
    </xdr:from>
    <xdr:to>
      <xdr:col>4</xdr:col>
      <xdr:colOff>142875</xdr:colOff>
      <xdr:row>19</xdr:row>
      <xdr:rowOff>71437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Kenn, Christoph (I/ER-621)" id="{3916E25C-C0FF-46C9-9E07-C343188B2EBB}" userId="S::christoph.kenn@audi.de::03136cfa-c696-4a11-b2e1-ccf5b14c91c5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39" dT="2021-07-17T19:52:13.13" personId="{3916E25C-C0FF-46C9-9E07-C343188B2EBB}" id="{DDD7DAEA-5F4D-4B8C-B259-174BBD703575}">
    <text>incl. Trinkgeld 2,50 EUR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9"/>
  <sheetViews>
    <sheetView workbookViewId="0">
      <selection activeCell="H76" sqref="H76"/>
    </sheetView>
  </sheetViews>
  <sheetFormatPr baseColWidth="10" defaultRowHeight="15" x14ac:dyDescent="0.25"/>
  <cols>
    <col min="2" max="2" width="39.28515625" bestFit="1" customWidth="1"/>
    <col min="3" max="3" width="16.7109375" customWidth="1"/>
    <col min="4" max="4" width="5.42578125" bestFit="1" customWidth="1"/>
    <col min="5" max="5" width="7.85546875" customWidth="1"/>
    <col min="6" max="6" width="8.85546875" customWidth="1"/>
    <col min="7" max="7" width="32.28515625" customWidth="1"/>
    <col min="8" max="8" width="7.42578125" customWidth="1"/>
    <col min="9" max="9" width="5.85546875" customWidth="1"/>
    <col min="10" max="10" width="7.42578125" customWidth="1"/>
    <col min="11" max="11" width="35.28515625" bestFit="1" customWidth="1"/>
    <col min="12" max="12" width="8.28515625" customWidth="1"/>
    <col min="13" max="13" width="26.5703125" bestFit="1" customWidth="1"/>
    <col min="14" max="14" width="7.7109375" customWidth="1"/>
    <col min="15" max="15" width="32.42578125" bestFit="1" customWidth="1"/>
    <col min="16" max="16" width="9.28515625" customWidth="1"/>
    <col min="17" max="17" width="12.140625" customWidth="1"/>
  </cols>
  <sheetData>
    <row r="1" spans="1:17" ht="18.75" x14ac:dyDescent="0.3">
      <c r="A1" s="95" t="s">
        <v>164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 thickBot="1" x14ac:dyDescent="0.3">
      <c r="H2" s="76"/>
    </row>
    <row r="3" spans="1:17" ht="34.5" customHeight="1" thickBot="1" x14ac:dyDescent="0.3">
      <c r="A3" s="79" t="s">
        <v>161</v>
      </c>
      <c r="B3" s="32" t="s">
        <v>0</v>
      </c>
      <c r="C3" s="26" t="s">
        <v>7</v>
      </c>
      <c r="D3" s="26" t="s">
        <v>41</v>
      </c>
      <c r="E3" s="26" t="s">
        <v>1</v>
      </c>
      <c r="F3" s="27" t="s">
        <v>184</v>
      </c>
      <c r="G3" s="28" t="s">
        <v>171</v>
      </c>
      <c r="H3" s="26" t="s">
        <v>2</v>
      </c>
      <c r="I3" s="26" t="s">
        <v>3</v>
      </c>
      <c r="J3" s="27" t="s">
        <v>4</v>
      </c>
      <c r="K3" s="28" t="s">
        <v>172</v>
      </c>
      <c r="L3" s="29" t="s">
        <v>4</v>
      </c>
      <c r="M3" s="28" t="s">
        <v>173</v>
      </c>
      <c r="N3" s="30" t="s">
        <v>4</v>
      </c>
      <c r="O3" s="25" t="s">
        <v>37</v>
      </c>
      <c r="P3" s="30" t="s">
        <v>4</v>
      </c>
      <c r="Q3" s="31" t="s">
        <v>42</v>
      </c>
    </row>
    <row r="4" spans="1:17" x14ac:dyDescent="0.25">
      <c r="A4" s="80">
        <v>44386</v>
      </c>
      <c r="B4" s="33" t="s">
        <v>21</v>
      </c>
      <c r="C4" s="11" t="s">
        <v>8</v>
      </c>
      <c r="D4" s="97">
        <v>8</v>
      </c>
      <c r="E4" s="116">
        <v>50.01</v>
      </c>
      <c r="F4" s="110">
        <f>E4</f>
        <v>50.01</v>
      </c>
      <c r="G4" s="3" t="s">
        <v>11</v>
      </c>
      <c r="H4" s="11"/>
      <c r="I4" s="11"/>
      <c r="J4" s="4">
        <v>4.5999999999999996</v>
      </c>
      <c r="K4" s="3"/>
      <c r="L4" s="16"/>
      <c r="M4" s="3"/>
      <c r="N4" s="19"/>
      <c r="O4" s="14"/>
      <c r="P4" s="23"/>
      <c r="Q4" s="34"/>
    </row>
    <row r="5" spans="1:17" x14ac:dyDescent="0.25">
      <c r="A5" s="39"/>
      <c r="B5" s="33" t="s">
        <v>5</v>
      </c>
      <c r="C5" s="11" t="s">
        <v>9</v>
      </c>
      <c r="D5" s="97"/>
      <c r="E5" s="116"/>
      <c r="F5" s="110"/>
      <c r="G5" s="3" t="s">
        <v>12</v>
      </c>
      <c r="H5" s="11"/>
      <c r="I5" s="11"/>
      <c r="J5" s="4">
        <v>14.8</v>
      </c>
      <c r="K5" s="3"/>
      <c r="L5" s="16"/>
      <c r="M5" s="3"/>
      <c r="N5" s="19"/>
      <c r="O5" s="14"/>
      <c r="P5" s="23"/>
      <c r="Q5" s="34"/>
    </row>
    <row r="6" spans="1:17" x14ac:dyDescent="0.25">
      <c r="A6" s="39"/>
      <c r="B6" s="33" t="s">
        <v>6</v>
      </c>
      <c r="C6" s="12" t="s">
        <v>10</v>
      </c>
      <c r="D6" s="97"/>
      <c r="E6" s="116"/>
      <c r="F6" s="110"/>
      <c r="G6" s="3" t="s">
        <v>13</v>
      </c>
      <c r="H6" s="67">
        <v>64.239999999999995</v>
      </c>
      <c r="I6" s="67">
        <v>1.429</v>
      </c>
      <c r="J6" s="61">
        <v>91.8</v>
      </c>
      <c r="K6" s="3"/>
      <c r="L6" s="16"/>
      <c r="M6" s="3"/>
      <c r="N6" s="19"/>
      <c r="O6" s="14"/>
      <c r="P6" s="23"/>
      <c r="Q6" s="34"/>
    </row>
    <row r="7" spans="1:17" x14ac:dyDescent="0.25">
      <c r="A7" s="81"/>
      <c r="B7" s="35"/>
      <c r="C7" s="13"/>
      <c r="D7" s="105"/>
      <c r="E7" s="117"/>
      <c r="F7" s="111"/>
      <c r="G7" s="8"/>
      <c r="H7" s="11"/>
      <c r="I7" s="11"/>
      <c r="J7" s="4"/>
      <c r="K7" s="8"/>
      <c r="L7" s="17"/>
      <c r="M7" s="8"/>
      <c r="N7" s="21"/>
      <c r="O7" s="14"/>
      <c r="P7" s="23"/>
      <c r="Q7" s="36">
        <f>SUM(F4,J4:J7,L4:L7,N4:N7,P4:P7)</f>
        <v>161.20999999999998</v>
      </c>
    </row>
    <row r="8" spans="1:17" x14ac:dyDescent="0.25">
      <c r="A8" s="80">
        <v>44387</v>
      </c>
      <c r="B8" s="37" t="s">
        <v>22</v>
      </c>
      <c r="C8" s="10" t="s">
        <v>14</v>
      </c>
      <c r="D8" s="96">
        <v>8</v>
      </c>
      <c r="E8" s="99">
        <v>38.69</v>
      </c>
      <c r="F8" s="102">
        <v>38.69</v>
      </c>
      <c r="G8" s="6" t="s">
        <v>17</v>
      </c>
      <c r="H8" s="10"/>
      <c r="I8" s="10"/>
      <c r="J8" s="60">
        <v>1.2</v>
      </c>
      <c r="K8" s="6" t="s">
        <v>28</v>
      </c>
      <c r="L8" s="91">
        <v>15</v>
      </c>
      <c r="M8" s="6"/>
      <c r="N8" s="22"/>
      <c r="O8" s="5" t="s">
        <v>16</v>
      </c>
      <c r="P8" s="22">
        <v>4</v>
      </c>
      <c r="Q8" s="38"/>
    </row>
    <row r="9" spans="1:17" x14ac:dyDescent="0.25">
      <c r="A9" s="39"/>
      <c r="B9" s="33" t="s">
        <v>23</v>
      </c>
      <c r="C9" s="11" t="s">
        <v>15</v>
      </c>
      <c r="D9" s="97"/>
      <c r="E9" s="100"/>
      <c r="F9" s="103"/>
      <c r="G9" s="3" t="s">
        <v>18</v>
      </c>
      <c r="H9" s="11"/>
      <c r="I9" s="11"/>
      <c r="J9" s="9">
        <v>5.5</v>
      </c>
      <c r="K9" s="3" t="s">
        <v>34</v>
      </c>
      <c r="L9" s="16">
        <v>18.41</v>
      </c>
      <c r="M9" s="3"/>
      <c r="N9" s="19"/>
      <c r="O9" s="14"/>
      <c r="P9" s="23"/>
      <c r="Q9" s="39"/>
    </row>
    <row r="10" spans="1:17" x14ac:dyDescent="0.25">
      <c r="A10" s="39"/>
      <c r="B10" s="33" t="s">
        <v>24</v>
      </c>
      <c r="C10" s="12"/>
      <c r="D10" s="97"/>
      <c r="E10" s="100"/>
      <c r="F10" s="103"/>
      <c r="G10" s="3" t="s">
        <v>19</v>
      </c>
      <c r="H10" s="11"/>
      <c r="I10" s="11"/>
      <c r="J10" s="4">
        <v>1.3</v>
      </c>
      <c r="K10" s="3"/>
      <c r="L10" s="16"/>
      <c r="M10" s="3"/>
      <c r="N10" s="19"/>
      <c r="O10" s="14"/>
      <c r="P10" s="23"/>
      <c r="Q10" s="39"/>
    </row>
    <row r="11" spans="1:17" x14ac:dyDescent="0.25">
      <c r="A11" s="81"/>
      <c r="B11" s="35"/>
      <c r="C11" s="13"/>
      <c r="D11" s="105"/>
      <c r="E11" s="114"/>
      <c r="F11" s="115"/>
      <c r="G11" s="8" t="s">
        <v>20</v>
      </c>
      <c r="H11" s="11"/>
      <c r="I11" s="11"/>
      <c r="J11" s="4">
        <v>3.7</v>
      </c>
      <c r="K11" s="8"/>
      <c r="L11" s="17"/>
      <c r="M11" s="8"/>
      <c r="N11" s="21"/>
      <c r="O11" s="1"/>
      <c r="P11" s="24"/>
      <c r="Q11" s="36">
        <f>SUM(F8,J8:J11,L8:L11,N8:N11,P8:P11)</f>
        <v>87.8</v>
      </c>
    </row>
    <row r="12" spans="1:17" x14ac:dyDescent="0.25">
      <c r="A12" s="80">
        <v>44388</v>
      </c>
      <c r="B12" s="37" t="s">
        <v>25</v>
      </c>
      <c r="C12" s="10" t="s">
        <v>8</v>
      </c>
      <c r="D12" s="96">
        <v>8</v>
      </c>
      <c r="E12" s="106">
        <v>40.4</v>
      </c>
      <c r="F12" s="109">
        <f>E12</f>
        <v>40.4</v>
      </c>
      <c r="G12" s="6" t="s">
        <v>146</v>
      </c>
      <c r="H12" s="10"/>
      <c r="I12" s="10"/>
      <c r="J12" s="60">
        <v>14.9</v>
      </c>
      <c r="K12" s="6" t="s">
        <v>29</v>
      </c>
      <c r="L12" s="62">
        <v>21</v>
      </c>
      <c r="M12" s="6" t="s">
        <v>30</v>
      </c>
      <c r="N12" s="77">
        <f>2*11</f>
        <v>22</v>
      </c>
      <c r="O12" s="14"/>
      <c r="P12" s="23"/>
      <c r="Q12" s="38"/>
    </row>
    <row r="13" spans="1:17" x14ac:dyDescent="0.25">
      <c r="A13" s="39"/>
      <c r="B13" s="33" t="s">
        <v>26</v>
      </c>
      <c r="C13" s="11" t="s">
        <v>15</v>
      </c>
      <c r="D13" s="97"/>
      <c r="E13" s="107"/>
      <c r="F13" s="110"/>
      <c r="G13" s="3" t="s">
        <v>49</v>
      </c>
      <c r="H13" s="67">
        <v>47.65</v>
      </c>
      <c r="I13" s="67">
        <v>1.385</v>
      </c>
      <c r="J13" s="61">
        <f>H13*I13</f>
        <v>65.995249999999999</v>
      </c>
      <c r="K13" s="3"/>
      <c r="L13" s="16"/>
      <c r="M13" s="3"/>
      <c r="N13" s="19"/>
      <c r="O13" s="14"/>
      <c r="P13" s="23"/>
      <c r="Q13" s="39"/>
    </row>
    <row r="14" spans="1:17" x14ac:dyDescent="0.25">
      <c r="A14" s="39"/>
      <c r="B14" s="33" t="s">
        <v>27</v>
      </c>
      <c r="C14" s="11"/>
      <c r="D14" s="97"/>
      <c r="E14" s="107"/>
      <c r="F14" s="110"/>
      <c r="G14" s="3"/>
      <c r="H14" s="11"/>
      <c r="I14" s="11"/>
      <c r="J14" s="4"/>
      <c r="K14" s="3"/>
      <c r="L14" s="16"/>
      <c r="M14" s="3"/>
      <c r="N14" s="19"/>
      <c r="O14" s="14"/>
      <c r="P14" s="23"/>
      <c r="Q14" s="39"/>
    </row>
    <row r="15" spans="1:17" x14ac:dyDescent="0.25">
      <c r="A15" s="81"/>
      <c r="B15" s="35"/>
      <c r="C15" s="13"/>
      <c r="D15" s="105"/>
      <c r="E15" s="108"/>
      <c r="F15" s="111"/>
      <c r="G15" s="8"/>
      <c r="H15" s="11"/>
      <c r="I15" s="11"/>
      <c r="J15" s="4"/>
      <c r="K15" s="8"/>
      <c r="L15" s="17"/>
      <c r="M15" s="8"/>
      <c r="N15" s="21"/>
      <c r="O15" s="14"/>
      <c r="P15" s="23"/>
      <c r="Q15" s="36">
        <f>SUM(F12,J12:J15,L12:L15,N12:N15,P12:P15)</f>
        <v>164.29525000000001</v>
      </c>
    </row>
    <row r="16" spans="1:17" x14ac:dyDescent="0.25">
      <c r="A16" s="80">
        <v>44389</v>
      </c>
      <c r="B16" s="33" t="s">
        <v>31</v>
      </c>
      <c r="C16" s="11" t="s">
        <v>14</v>
      </c>
      <c r="D16" s="96">
        <v>8</v>
      </c>
      <c r="E16" s="99">
        <v>40.18</v>
      </c>
      <c r="F16" s="102">
        <f>E16</f>
        <v>40.18</v>
      </c>
      <c r="G16" s="3" t="s">
        <v>47</v>
      </c>
      <c r="H16" s="10"/>
      <c r="I16" s="10"/>
      <c r="J16" s="60">
        <v>8.9</v>
      </c>
      <c r="K16" s="3" t="s">
        <v>35</v>
      </c>
      <c r="L16" s="18">
        <v>9.2899999999999991</v>
      </c>
      <c r="M16" s="3" t="s">
        <v>38</v>
      </c>
      <c r="N16" s="63">
        <v>22</v>
      </c>
      <c r="O16" s="5" t="s">
        <v>44</v>
      </c>
      <c r="P16" s="94">
        <v>14</v>
      </c>
      <c r="Q16" s="38"/>
    </row>
    <row r="17" spans="1:17" x14ac:dyDescent="0.25">
      <c r="A17" s="39"/>
      <c r="B17" s="33" t="s">
        <v>32</v>
      </c>
      <c r="C17" s="11" t="s">
        <v>15</v>
      </c>
      <c r="D17" s="97"/>
      <c r="E17" s="100"/>
      <c r="F17" s="103"/>
      <c r="G17" s="3" t="s">
        <v>163</v>
      </c>
      <c r="H17" s="11"/>
      <c r="I17" s="11"/>
      <c r="J17" s="9">
        <v>0.5</v>
      </c>
      <c r="K17" s="3" t="s">
        <v>40</v>
      </c>
      <c r="L17" s="16">
        <v>33.1</v>
      </c>
      <c r="M17" s="3" t="s">
        <v>39</v>
      </c>
      <c r="N17" s="63">
        <v>20</v>
      </c>
      <c r="O17" s="2" t="s">
        <v>36</v>
      </c>
      <c r="P17" s="63">
        <v>12.8</v>
      </c>
      <c r="Q17" s="39"/>
    </row>
    <row r="18" spans="1:17" x14ac:dyDescent="0.25">
      <c r="A18" s="39"/>
      <c r="B18" s="33" t="s">
        <v>33</v>
      </c>
      <c r="C18" s="11"/>
      <c r="D18" s="97"/>
      <c r="E18" s="100"/>
      <c r="F18" s="103"/>
      <c r="G18" s="3"/>
      <c r="H18" s="11"/>
      <c r="I18" s="11"/>
      <c r="J18" s="4"/>
      <c r="K18" s="3" t="s">
        <v>43</v>
      </c>
      <c r="L18" s="18">
        <v>3</v>
      </c>
      <c r="M18" s="3"/>
      <c r="N18" s="19"/>
      <c r="O18" s="14"/>
      <c r="P18" s="23"/>
      <c r="Q18" s="39"/>
    </row>
    <row r="19" spans="1:17" x14ac:dyDescent="0.25">
      <c r="A19" s="81"/>
      <c r="B19" s="35" t="s">
        <v>45</v>
      </c>
      <c r="C19" s="13"/>
      <c r="D19" s="105"/>
      <c r="E19" s="114"/>
      <c r="F19" s="115"/>
      <c r="G19" s="8"/>
      <c r="H19" s="11"/>
      <c r="I19" s="11"/>
      <c r="J19" s="4"/>
      <c r="K19" s="8"/>
      <c r="L19" s="17"/>
      <c r="M19" s="8"/>
      <c r="N19" s="21"/>
      <c r="O19" s="1"/>
      <c r="P19" s="24"/>
      <c r="Q19" s="36">
        <f>SUM(F16,J16:J19,L16:L19,N16:N19,P16:P19)</f>
        <v>163.77000000000001</v>
      </c>
    </row>
    <row r="20" spans="1:17" x14ac:dyDescent="0.25">
      <c r="A20" s="80">
        <v>44390</v>
      </c>
      <c r="B20" s="37" t="s">
        <v>54</v>
      </c>
      <c r="C20" s="10" t="s">
        <v>8</v>
      </c>
      <c r="D20" s="96">
        <v>8</v>
      </c>
      <c r="E20" s="99">
        <v>58.8</v>
      </c>
      <c r="F20" s="102">
        <f>E20</f>
        <v>58.8</v>
      </c>
      <c r="G20" s="6" t="s">
        <v>46</v>
      </c>
      <c r="H20" s="10"/>
      <c r="I20" s="10"/>
      <c r="J20" s="7">
        <v>8.9</v>
      </c>
      <c r="K20" s="6" t="s">
        <v>51</v>
      </c>
      <c r="L20" s="15">
        <v>36</v>
      </c>
      <c r="M20" s="6" t="s">
        <v>50</v>
      </c>
      <c r="N20" s="65">
        <f>4.5+4.5+1.4</f>
        <v>10.4</v>
      </c>
      <c r="O20" s="40"/>
      <c r="P20" s="41"/>
      <c r="Q20" s="38"/>
    </row>
    <row r="21" spans="1:17" x14ac:dyDescent="0.25">
      <c r="A21" s="39"/>
      <c r="B21" s="33" t="s">
        <v>55</v>
      </c>
      <c r="C21" s="11" t="s">
        <v>59</v>
      </c>
      <c r="D21" s="97"/>
      <c r="E21" s="100"/>
      <c r="F21" s="103"/>
      <c r="G21" s="3" t="s">
        <v>60</v>
      </c>
      <c r="H21" s="11"/>
      <c r="I21" s="11"/>
      <c r="J21" s="61">
        <v>2.8</v>
      </c>
      <c r="K21" s="3" t="s">
        <v>52</v>
      </c>
      <c r="L21" s="18">
        <v>3</v>
      </c>
      <c r="M21" s="3"/>
      <c r="N21" s="19"/>
      <c r="O21" s="14"/>
      <c r="P21" s="23"/>
      <c r="Q21" s="39"/>
    </row>
    <row r="22" spans="1:17" x14ac:dyDescent="0.25">
      <c r="A22" s="39"/>
      <c r="B22" s="33" t="s">
        <v>56</v>
      </c>
      <c r="C22" s="11" t="s">
        <v>58</v>
      </c>
      <c r="D22" s="97"/>
      <c r="E22" s="100"/>
      <c r="F22" s="103"/>
      <c r="G22" s="3" t="s">
        <v>48</v>
      </c>
      <c r="H22" s="11"/>
      <c r="I22" s="11"/>
      <c r="J22" s="4">
        <v>29.4</v>
      </c>
      <c r="K22" s="3" t="s">
        <v>53</v>
      </c>
      <c r="L22" s="64">
        <v>10.74</v>
      </c>
      <c r="M22" s="3"/>
      <c r="N22" s="19"/>
      <c r="O22" s="14"/>
      <c r="P22" s="23"/>
      <c r="Q22" s="39"/>
    </row>
    <row r="23" spans="1:17" x14ac:dyDescent="0.25">
      <c r="A23" s="81"/>
      <c r="B23" s="35" t="s">
        <v>57</v>
      </c>
      <c r="C23" s="13"/>
      <c r="D23" s="105"/>
      <c r="E23" s="114"/>
      <c r="F23" s="115"/>
      <c r="G23" s="8"/>
      <c r="H23" s="13"/>
      <c r="I23" s="13"/>
      <c r="J23" s="42"/>
      <c r="K23" s="8"/>
      <c r="L23" s="17"/>
      <c r="M23" s="8"/>
      <c r="N23" s="21"/>
      <c r="O23" s="1"/>
      <c r="P23" s="24"/>
      <c r="Q23" s="36">
        <f>SUM(F20,J20:J23,L20:L23,N20:N23,P20:P23)</f>
        <v>160.04000000000002</v>
      </c>
    </row>
    <row r="24" spans="1:17" x14ac:dyDescent="0.25">
      <c r="A24" s="80">
        <v>44391</v>
      </c>
      <c r="B24" s="37" t="s">
        <v>54</v>
      </c>
      <c r="C24" s="10" t="s">
        <v>8</v>
      </c>
      <c r="D24" s="96">
        <v>8</v>
      </c>
      <c r="E24" s="99">
        <v>58.8</v>
      </c>
      <c r="F24" s="102">
        <f>E24</f>
        <v>58.8</v>
      </c>
      <c r="G24" s="6"/>
      <c r="H24" s="10"/>
      <c r="I24" s="10"/>
      <c r="J24" s="7"/>
      <c r="K24" s="6" t="s">
        <v>53</v>
      </c>
      <c r="L24" s="15">
        <v>6.29</v>
      </c>
      <c r="M24" s="6"/>
      <c r="N24" s="20"/>
      <c r="O24" s="40" t="s">
        <v>63</v>
      </c>
      <c r="P24" s="72">
        <v>1</v>
      </c>
      <c r="Q24" s="38"/>
    </row>
    <row r="25" spans="1:17" x14ac:dyDescent="0.25">
      <c r="A25" s="39"/>
      <c r="B25" s="33" t="s">
        <v>55</v>
      </c>
      <c r="C25" s="11" t="s">
        <v>59</v>
      </c>
      <c r="D25" s="97"/>
      <c r="E25" s="100"/>
      <c r="F25" s="103"/>
      <c r="G25" s="3"/>
      <c r="H25" s="11"/>
      <c r="I25" s="11"/>
      <c r="J25" s="4"/>
      <c r="K25" s="3" t="s">
        <v>53</v>
      </c>
      <c r="L25" s="43">
        <v>3.95</v>
      </c>
      <c r="M25" s="3"/>
      <c r="N25" s="19"/>
      <c r="O25" s="14"/>
      <c r="P25" s="23"/>
      <c r="Q25" s="39"/>
    </row>
    <row r="26" spans="1:17" x14ac:dyDescent="0.25">
      <c r="A26" s="39"/>
      <c r="B26" s="33" t="s">
        <v>56</v>
      </c>
      <c r="C26" s="11" t="s">
        <v>58</v>
      </c>
      <c r="D26" s="97"/>
      <c r="E26" s="100"/>
      <c r="F26" s="103"/>
      <c r="G26" s="3"/>
      <c r="H26" s="11"/>
      <c r="I26" s="11"/>
      <c r="J26" s="4"/>
      <c r="K26" s="3" t="s">
        <v>61</v>
      </c>
      <c r="L26" s="121">
        <v>15.7</v>
      </c>
      <c r="M26" s="3"/>
      <c r="N26" s="19"/>
      <c r="O26" s="14"/>
      <c r="P26" s="23"/>
      <c r="Q26" s="39"/>
    </row>
    <row r="27" spans="1:17" x14ac:dyDescent="0.25">
      <c r="A27" s="81"/>
      <c r="B27" s="35" t="s">
        <v>57</v>
      </c>
      <c r="C27" s="13"/>
      <c r="D27" s="105"/>
      <c r="E27" s="114"/>
      <c r="F27" s="115"/>
      <c r="G27" s="8"/>
      <c r="H27" s="13"/>
      <c r="I27" s="13"/>
      <c r="J27" s="42"/>
      <c r="K27" s="8" t="s">
        <v>62</v>
      </c>
      <c r="L27" s="46">
        <v>1.7</v>
      </c>
      <c r="M27" s="8"/>
      <c r="N27" s="21"/>
      <c r="O27" s="1"/>
      <c r="P27" s="24"/>
      <c r="Q27" s="36">
        <f>SUM(F24,J24:J27,L24:L27,N24:N27,P24:P27)</f>
        <v>87.440000000000012</v>
      </c>
    </row>
    <row r="28" spans="1:17" x14ac:dyDescent="0.25">
      <c r="A28" s="80">
        <v>44392</v>
      </c>
      <c r="B28" s="37" t="s">
        <v>64</v>
      </c>
      <c r="C28" s="10" t="s">
        <v>68</v>
      </c>
      <c r="D28" s="96">
        <v>9</v>
      </c>
      <c r="E28" s="99">
        <v>76.2</v>
      </c>
      <c r="F28" s="102">
        <f>E28</f>
        <v>76.2</v>
      </c>
      <c r="G28" s="6" t="s">
        <v>72</v>
      </c>
      <c r="H28" s="68">
        <v>68.3</v>
      </c>
      <c r="I28" s="69">
        <v>1.389</v>
      </c>
      <c r="J28" s="90">
        <v>94.87</v>
      </c>
      <c r="K28" s="6" t="s">
        <v>162</v>
      </c>
      <c r="L28" s="62">
        <v>19.079999999999998</v>
      </c>
      <c r="M28" s="6"/>
      <c r="N28" s="20"/>
      <c r="O28" s="40" t="s">
        <v>71</v>
      </c>
      <c r="P28" s="22">
        <v>0.5</v>
      </c>
      <c r="Q28" s="38"/>
    </row>
    <row r="29" spans="1:17" x14ac:dyDescent="0.25">
      <c r="A29" s="39"/>
      <c r="B29" s="33" t="s">
        <v>65</v>
      </c>
      <c r="C29" s="11" t="s">
        <v>69</v>
      </c>
      <c r="D29" s="97"/>
      <c r="E29" s="100"/>
      <c r="F29" s="103"/>
      <c r="G29" s="3"/>
      <c r="H29" s="11"/>
      <c r="I29" s="11"/>
      <c r="J29" s="4"/>
      <c r="K29" s="3"/>
      <c r="L29" s="43"/>
      <c r="M29" s="3"/>
      <c r="N29" s="19"/>
      <c r="O29" s="14"/>
      <c r="P29" s="23"/>
      <c r="Q29" s="39"/>
    </row>
    <row r="30" spans="1:17" x14ac:dyDescent="0.25">
      <c r="A30" s="39"/>
      <c r="B30" s="33" t="s">
        <v>66</v>
      </c>
      <c r="C30" s="11" t="s">
        <v>70</v>
      </c>
      <c r="D30" s="97"/>
      <c r="E30" s="100"/>
      <c r="F30" s="103"/>
      <c r="G30" s="3"/>
      <c r="H30" s="11"/>
      <c r="I30" s="11"/>
      <c r="J30" s="4"/>
      <c r="K30" s="3"/>
      <c r="L30" s="16"/>
      <c r="M30" s="3"/>
      <c r="N30" s="19"/>
      <c r="O30" s="14"/>
      <c r="P30" s="23"/>
      <c r="Q30" s="39"/>
    </row>
    <row r="31" spans="1:17" x14ac:dyDescent="0.25">
      <c r="A31" s="81"/>
      <c r="B31" s="35" t="s">
        <v>67</v>
      </c>
      <c r="C31" s="13"/>
      <c r="D31" s="105"/>
      <c r="E31" s="114"/>
      <c r="F31" s="115"/>
      <c r="G31" s="8"/>
      <c r="H31" s="13"/>
      <c r="I31" s="13"/>
      <c r="J31" s="42"/>
      <c r="K31" s="8"/>
      <c r="L31" s="17"/>
      <c r="M31" s="8"/>
      <c r="N31" s="21"/>
      <c r="O31" s="1"/>
      <c r="P31" s="24"/>
      <c r="Q31" s="44">
        <f>SUM(F28,J28:J31,L28:L31,N28:N31,P28:P31)</f>
        <v>190.64999999999998</v>
      </c>
    </row>
    <row r="32" spans="1:17" x14ac:dyDescent="0.25">
      <c r="A32" s="80">
        <v>44393</v>
      </c>
      <c r="B32" s="37" t="s">
        <v>79</v>
      </c>
      <c r="C32" s="10" t="s">
        <v>68</v>
      </c>
      <c r="D32" s="96">
        <v>8</v>
      </c>
      <c r="E32" s="99">
        <v>64.98</v>
      </c>
      <c r="F32" s="102">
        <f>E32</f>
        <v>64.98</v>
      </c>
      <c r="G32" s="6" t="s">
        <v>180</v>
      </c>
      <c r="H32" s="10"/>
      <c r="I32" s="10"/>
      <c r="J32" s="60">
        <v>3</v>
      </c>
      <c r="K32" s="6" t="s">
        <v>73</v>
      </c>
      <c r="L32" s="15">
        <v>30</v>
      </c>
      <c r="M32" s="6"/>
      <c r="N32" s="20"/>
      <c r="O32" s="40"/>
      <c r="P32" s="22"/>
      <c r="Q32" s="38"/>
    </row>
    <row r="33" spans="1:17" x14ac:dyDescent="0.25">
      <c r="A33" s="39"/>
      <c r="B33" s="33" t="s">
        <v>80</v>
      </c>
      <c r="C33" s="11" t="s">
        <v>59</v>
      </c>
      <c r="D33" s="97"/>
      <c r="E33" s="100"/>
      <c r="F33" s="103"/>
      <c r="G33" s="3" t="s">
        <v>76</v>
      </c>
      <c r="H33" s="11"/>
      <c r="I33" s="11"/>
      <c r="J33" s="4">
        <v>9.3000000000000007</v>
      </c>
      <c r="K33" s="3" t="s">
        <v>183</v>
      </c>
      <c r="L33" s="18">
        <v>3</v>
      </c>
      <c r="M33" s="3"/>
      <c r="N33" s="19"/>
      <c r="O33" s="14"/>
      <c r="P33" s="23"/>
      <c r="Q33" s="39"/>
    </row>
    <row r="34" spans="1:17" x14ac:dyDescent="0.25">
      <c r="A34" s="39"/>
      <c r="B34" s="33" t="s">
        <v>81</v>
      </c>
      <c r="C34" s="11" t="s">
        <v>58</v>
      </c>
      <c r="D34" s="97"/>
      <c r="E34" s="100"/>
      <c r="F34" s="103"/>
      <c r="G34" s="3" t="s">
        <v>77</v>
      </c>
      <c r="H34" s="11"/>
      <c r="I34" s="11"/>
      <c r="J34" s="4">
        <v>2.9</v>
      </c>
      <c r="K34" s="3" t="s">
        <v>74</v>
      </c>
      <c r="L34" s="18">
        <f>10.2+0.8</f>
        <v>11</v>
      </c>
      <c r="M34" s="3"/>
      <c r="N34" s="19"/>
      <c r="O34" s="14"/>
      <c r="P34" s="23"/>
      <c r="Q34" s="39"/>
    </row>
    <row r="35" spans="1:17" x14ac:dyDescent="0.25">
      <c r="A35" s="81"/>
      <c r="B35" s="35" t="s">
        <v>82</v>
      </c>
      <c r="C35" s="13"/>
      <c r="D35" s="105"/>
      <c r="E35" s="114"/>
      <c r="F35" s="115"/>
      <c r="G35" s="8" t="s">
        <v>78</v>
      </c>
      <c r="H35" s="13"/>
      <c r="I35" s="13"/>
      <c r="J35" s="42">
        <v>9.6999999999999993</v>
      </c>
      <c r="K35" s="8" t="s">
        <v>75</v>
      </c>
      <c r="L35" s="66">
        <v>14.37</v>
      </c>
      <c r="M35" s="8"/>
      <c r="N35" s="21"/>
      <c r="O35" s="1"/>
      <c r="P35" s="24"/>
      <c r="Q35" s="44">
        <f>SUM(F32,J32:J35,L32:L35,N32:N35,P32:P35)</f>
        <v>148.25</v>
      </c>
    </row>
    <row r="36" spans="1:17" x14ac:dyDescent="0.25">
      <c r="A36" s="80">
        <v>44394</v>
      </c>
      <c r="B36" s="37" t="s">
        <v>83</v>
      </c>
      <c r="C36" s="10" t="s">
        <v>68</v>
      </c>
      <c r="D36" s="96">
        <v>9</v>
      </c>
      <c r="E36" s="106">
        <v>75.09</v>
      </c>
      <c r="F36" s="109">
        <f>E36</f>
        <v>75.09</v>
      </c>
      <c r="G36" s="6"/>
      <c r="H36" s="10"/>
      <c r="I36" s="10"/>
      <c r="J36" s="7"/>
      <c r="K36" s="6" t="s">
        <v>90</v>
      </c>
      <c r="L36" s="45">
        <f>25+2.5</f>
        <v>27.5</v>
      </c>
      <c r="M36" s="6" t="s">
        <v>89</v>
      </c>
      <c r="N36" s="65">
        <f>9.5*2</f>
        <v>19</v>
      </c>
      <c r="O36" s="40"/>
      <c r="P36" s="22"/>
      <c r="Q36" s="38"/>
    </row>
    <row r="37" spans="1:17" x14ac:dyDescent="0.25">
      <c r="A37" s="39"/>
      <c r="B37" s="33" t="s">
        <v>84</v>
      </c>
      <c r="C37" s="11" t="s">
        <v>87</v>
      </c>
      <c r="D37" s="97"/>
      <c r="E37" s="107"/>
      <c r="F37" s="110"/>
      <c r="G37" s="3"/>
      <c r="H37" s="11"/>
      <c r="I37" s="11"/>
      <c r="J37" s="4"/>
      <c r="K37" s="3" t="s">
        <v>92</v>
      </c>
      <c r="L37" s="64">
        <f>12+12+8+3.2</f>
        <v>35.200000000000003</v>
      </c>
      <c r="M37" s="3"/>
      <c r="N37" s="19"/>
      <c r="O37" s="14"/>
      <c r="P37" s="23"/>
      <c r="Q37" s="39"/>
    </row>
    <row r="38" spans="1:17" x14ac:dyDescent="0.25">
      <c r="A38" s="39"/>
      <c r="B38" s="33" t="s">
        <v>85</v>
      </c>
      <c r="C38" s="11" t="s">
        <v>88</v>
      </c>
      <c r="D38" s="97"/>
      <c r="E38" s="107"/>
      <c r="F38" s="110"/>
      <c r="G38" s="3"/>
      <c r="H38" s="11"/>
      <c r="I38" s="11"/>
      <c r="J38" s="4"/>
      <c r="K38" s="3" t="s">
        <v>93</v>
      </c>
      <c r="L38" s="64">
        <v>2.88</v>
      </c>
      <c r="M38" s="3"/>
      <c r="N38" s="19"/>
      <c r="O38" s="14"/>
      <c r="P38" s="23"/>
      <c r="Q38" s="39"/>
    </row>
    <row r="39" spans="1:17" x14ac:dyDescent="0.25">
      <c r="A39" s="81"/>
      <c r="B39" s="35" t="s">
        <v>86</v>
      </c>
      <c r="C39" s="13"/>
      <c r="D39" s="105"/>
      <c r="E39" s="108"/>
      <c r="F39" s="111"/>
      <c r="G39" s="8"/>
      <c r="H39" s="13"/>
      <c r="I39" s="13"/>
      <c r="J39" s="42"/>
      <c r="K39" s="8" t="s">
        <v>94</v>
      </c>
      <c r="L39" s="46">
        <v>5.27</v>
      </c>
      <c r="M39" s="8"/>
      <c r="N39" s="21"/>
      <c r="O39" s="1"/>
      <c r="P39" s="24"/>
      <c r="Q39" s="44">
        <f>SUM(F36,J36:J39,L36:L39,N36:N39,P36:P39)</f>
        <v>164.94000000000003</v>
      </c>
    </row>
    <row r="40" spans="1:17" x14ac:dyDescent="0.25">
      <c r="A40" s="80">
        <v>44395</v>
      </c>
      <c r="B40" s="37" t="s">
        <v>79</v>
      </c>
      <c r="C40" s="10" t="s">
        <v>68</v>
      </c>
      <c r="D40" s="96">
        <v>8</v>
      </c>
      <c r="E40" s="99">
        <v>56.98</v>
      </c>
      <c r="F40" s="102">
        <f>E40</f>
        <v>56.98</v>
      </c>
      <c r="G40" s="5" t="s">
        <v>148</v>
      </c>
      <c r="H40" s="10"/>
      <c r="I40" s="10"/>
      <c r="J40" s="90">
        <v>11</v>
      </c>
      <c r="K40" s="6" t="s">
        <v>91</v>
      </c>
      <c r="L40" s="62">
        <v>18.3</v>
      </c>
      <c r="M40" s="6"/>
      <c r="N40" s="20"/>
      <c r="O40" s="40"/>
      <c r="P40" s="22"/>
      <c r="Q40" s="38"/>
    </row>
    <row r="41" spans="1:17" x14ac:dyDescent="0.25">
      <c r="A41" s="39"/>
      <c r="B41" s="33" t="s">
        <v>80</v>
      </c>
      <c r="C41" s="11" t="s">
        <v>59</v>
      </c>
      <c r="D41" s="97"/>
      <c r="E41" s="100"/>
      <c r="F41" s="103"/>
      <c r="G41" s="3" t="s">
        <v>95</v>
      </c>
      <c r="H41" s="67">
        <v>75.37</v>
      </c>
      <c r="I41" s="67">
        <v>1.0680000000000001</v>
      </c>
      <c r="J41" s="61">
        <v>80.5</v>
      </c>
      <c r="K41" s="3" t="s">
        <v>96</v>
      </c>
      <c r="L41" s="18">
        <v>10.5</v>
      </c>
      <c r="M41" s="3"/>
      <c r="N41" s="19"/>
      <c r="O41" s="14"/>
      <c r="P41" s="23"/>
      <c r="Q41" s="39"/>
    </row>
    <row r="42" spans="1:17" x14ac:dyDescent="0.25">
      <c r="A42" s="39"/>
      <c r="B42" s="33" t="s">
        <v>81</v>
      </c>
      <c r="C42" s="11" t="s">
        <v>58</v>
      </c>
      <c r="D42" s="97"/>
      <c r="E42" s="100"/>
      <c r="F42" s="103"/>
      <c r="G42" s="3"/>
      <c r="H42" s="11"/>
      <c r="I42" s="11"/>
      <c r="J42" s="4"/>
      <c r="K42" s="3"/>
      <c r="L42" s="18"/>
      <c r="M42" s="3"/>
      <c r="N42" s="19"/>
      <c r="O42" s="14"/>
      <c r="P42" s="23"/>
      <c r="Q42" s="39"/>
    </row>
    <row r="43" spans="1:17" x14ac:dyDescent="0.25">
      <c r="A43" s="81"/>
      <c r="B43" s="35" t="s">
        <v>82</v>
      </c>
      <c r="C43" s="13"/>
      <c r="D43" s="105"/>
      <c r="E43" s="114"/>
      <c r="F43" s="115"/>
      <c r="G43" s="8"/>
      <c r="H43" s="13"/>
      <c r="I43" s="13"/>
      <c r="J43" s="42"/>
      <c r="K43" s="8"/>
      <c r="L43" s="17"/>
      <c r="M43" s="8"/>
      <c r="N43" s="21"/>
      <c r="O43" s="1"/>
      <c r="P43" s="24"/>
      <c r="Q43" s="44">
        <f>SUM(F40,J40:J43,L40:L43,N40:N43,P40:P43)</f>
        <v>177.28</v>
      </c>
    </row>
    <row r="44" spans="1:17" x14ac:dyDescent="0.25">
      <c r="A44" s="80">
        <v>44396</v>
      </c>
      <c r="B44" s="37" t="s">
        <v>97</v>
      </c>
      <c r="C44" s="10" t="s">
        <v>68</v>
      </c>
      <c r="D44" s="96">
        <v>9</v>
      </c>
      <c r="E44" s="99">
        <v>58.08</v>
      </c>
      <c r="F44" s="102">
        <v>58.08</v>
      </c>
      <c r="G44" s="6" t="s">
        <v>102</v>
      </c>
      <c r="H44" s="10"/>
      <c r="I44" s="10"/>
      <c r="J44" s="60">
        <v>20.5</v>
      </c>
      <c r="K44" s="6" t="s">
        <v>103</v>
      </c>
      <c r="L44" s="62">
        <v>20.399999999999999</v>
      </c>
      <c r="M44" s="6" t="s">
        <v>134</v>
      </c>
      <c r="N44" s="65">
        <v>16</v>
      </c>
      <c r="O44" s="40"/>
      <c r="P44" s="22"/>
      <c r="Q44" s="38"/>
    </row>
    <row r="45" spans="1:17" x14ac:dyDescent="0.25">
      <c r="A45" s="39"/>
      <c r="B45" s="33" t="s">
        <v>98</v>
      </c>
      <c r="C45" s="11" t="s">
        <v>87</v>
      </c>
      <c r="D45" s="97"/>
      <c r="E45" s="100"/>
      <c r="F45" s="103"/>
      <c r="G45" s="3"/>
      <c r="H45" s="11"/>
      <c r="I45" s="11"/>
      <c r="J45" s="4"/>
      <c r="K45" s="3" t="s">
        <v>104</v>
      </c>
      <c r="L45" s="64">
        <v>17.989999999999998</v>
      </c>
      <c r="M45" s="3"/>
      <c r="N45" s="19"/>
      <c r="O45" s="14"/>
      <c r="P45" s="23"/>
      <c r="Q45" s="39"/>
    </row>
    <row r="46" spans="1:17" x14ac:dyDescent="0.25">
      <c r="A46" s="39"/>
      <c r="B46" s="33" t="s">
        <v>99</v>
      </c>
      <c r="C46" s="11" t="s">
        <v>101</v>
      </c>
      <c r="D46" s="97"/>
      <c r="E46" s="100"/>
      <c r="F46" s="103"/>
      <c r="G46" s="3"/>
      <c r="H46" s="11"/>
      <c r="I46" s="11"/>
      <c r="J46" s="4"/>
      <c r="K46" s="3"/>
      <c r="L46" s="18"/>
      <c r="M46" s="3"/>
      <c r="N46" s="19"/>
      <c r="O46" s="14"/>
      <c r="P46" s="23"/>
      <c r="Q46" s="39"/>
    </row>
    <row r="47" spans="1:17" x14ac:dyDescent="0.25">
      <c r="A47" s="81"/>
      <c r="B47" s="35" t="s">
        <v>100</v>
      </c>
      <c r="C47" s="13"/>
      <c r="D47" s="105"/>
      <c r="E47" s="114"/>
      <c r="F47" s="115"/>
      <c r="G47" s="8"/>
      <c r="H47" s="13"/>
      <c r="I47" s="13"/>
      <c r="J47" s="42"/>
      <c r="K47" s="8"/>
      <c r="L47" s="17"/>
      <c r="M47" s="8"/>
      <c r="N47" s="21"/>
      <c r="O47" s="1"/>
      <c r="P47" s="24"/>
      <c r="Q47" s="44">
        <f>SUM(F44,J44:J47,L44:L47,N44:N47,P44:P47)</f>
        <v>132.96999999999997</v>
      </c>
    </row>
    <row r="48" spans="1:17" x14ac:dyDescent="0.25">
      <c r="A48" s="80">
        <v>44397</v>
      </c>
      <c r="B48" s="37" t="s">
        <v>105</v>
      </c>
      <c r="C48" s="10" t="s">
        <v>68</v>
      </c>
      <c r="D48" s="96">
        <v>8</v>
      </c>
      <c r="E48" s="106">
        <v>51.66</v>
      </c>
      <c r="F48" s="109">
        <v>51.66</v>
      </c>
      <c r="G48" s="6" t="s">
        <v>110</v>
      </c>
      <c r="H48" s="68">
        <v>51.8</v>
      </c>
      <c r="I48" s="69">
        <v>1.405</v>
      </c>
      <c r="J48" s="90">
        <v>72.78</v>
      </c>
      <c r="K48" s="6" t="s">
        <v>111</v>
      </c>
      <c r="L48" s="45">
        <f>24.5+2.5</f>
        <v>27</v>
      </c>
      <c r="M48" s="6"/>
      <c r="N48" s="20"/>
      <c r="O48" s="40"/>
      <c r="P48" s="22"/>
      <c r="Q48" s="38"/>
    </row>
    <row r="49" spans="1:17" x14ac:dyDescent="0.25">
      <c r="A49" s="39"/>
      <c r="B49" s="33" t="s">
        <v>106</v>
      </c>
      <c r="C49" s="11" t="s">
        <v>109</v>
      </c>
      <c r="D49" s="97"/>
      <c r="E49" s="107"/>
      <c r="F49" s="110"/>
      <c r="G49" s="3"/>
      <c r="H49" s="11"/>
      <c r="I49" s="11"/>
      <c r="J49" s="4"/>
      <c r="K49" s="3" t="s">
        <v>112</v>
      </c>
      <c r="L49" s="64">
        <v>11.66</v>
      </c>
      <c r="M49" s="3"/>
      <c r="N49" s="19"/>
      <c r="O49" s="14"/>
      <c r="P49" s="23"/>
      <c r="Q49" s="39"/>
    </row>
    <row r="50" spans="1:17" x14ac:dyDescent="0.25">
      <c r="A50" s="39"/>
      <c r="B50" s="33" t="s">
        <v>107</v>
      </c>
      <c r="C50" s="11" t="s">
        <v>58</v>
      </c>
      <c r="D50" s="97"/>
      <c r="E50" s="107"/>
      <c r="F50" s="110"/>
      <c r="G50" s="3"/>
      <c r="H50" s="11"/>
      <c r="I50" s="11"/>
      <c r="J50" s="4"/>
      <c r="K50" s="3"/>
      <c r="L50" s="18"/>
      <c r="M50" s="3"/>
      <c r="N50" s="19"/>
      <c r="O50" s="14"/>
      <c r="P50" s="23"/>
      <c r="Q50" s="39"/>
    </row>
    <row r="51" spans="1:17" x14ac:dyDescent="0.25">
      <c r="A51" s="81"/>
      <c r="B51" s="35" t="s">
        <v>108</v>
      </c>
      <c r="C51" s="13"/>
      <c r="D51" s="105"/>
      <c r="E51" s="108"/>
      <c r="F51" s="111"/>
      <c r="G51" s="8"/>
      <c r="H51" s="13"/>
      <c r="I51" s="13"/>
      <c r="J51" s="42"/>
      <c r="K51" s="8"/>
      <c r="L51" s="17"/>
      <c r="M51" s="8"/>
      <c r="N51" s="21"/>
      <c r="O51" s="1"/>
      <c r="P51" s="24"/>
      <c r="Q51" s="44">
        <f>SUM(F48,J48:J51,L48:L51,N48:N51,P48:P51)</f>
        <v>163.1</v>
      </c>
    </row>
    <row r="52" spans="1:17" x14ac:dyDescent="0.25">
      <c r="A52" s="80">
        <v>44398</v>
      </c>
      <c r="B52" s="37" t="s">
        <v>113</v>
      </c>
      <c r="C52" s="10" t="s">
        <v>116</v>
      </c>
      <c r="D52" s="96">
        <v>6</v>
      </c>
      <c r="E52" s="106">
        <v>21.5</v>
      </c>
      <c r="F52" s="109">
        <f>E52</f>
        <v>21.5</v>
      </c>
      <c r="G52" s="6"/>
      <c r="H52" s="10"/>
      <c r="I52" s="10"/>
      <c r="J52" s="7"/>
      <c r="K52" s="5" t="s">
        <v>132</v>
      </c>
      <c r="L52" s="62">
        <v>18.649999999999999</v>
      </c>
      <c r="M52" s="6" t="s">
        <v>133</v>
      </c>
      <c r="N52" s="22">
        <v>6</v>
      </c>
      <c r="O52" s="40" t="s">
        <v>120</v>
      </c>
      <c r="P52" s="65">
        <v>33.4</v>
      </c>
      <c r="Q52" s="38"/>
    </row>
    <row r="53" spans="1:17" x14ac:dyDescent="0.25">
      <c r="A53" s="39"/>
      <c r="B53" s="33" t="s">
        <v>114</v>
      </c>
      <c r="C53" s="11" t="s">
        <v>117</v>
      </c>
      <c r="D53" s="97"/>
      <c r="E53" s="107"/>
      <c r="F53" s="110"/>
      <c r="G53" s="3"/>
      <c r="H53" s="11"/>
      <c r="I53" s="11"/>
      <c r="J53" s="4"/>
      <c r="K53" s="3" t="s">
        <v>119</v>
      </c>
      <c r="L53" s="18">
        <f>38+4</f>
        <v>42</v>
      </c>
      <c r="M53" s="3"/>
      <c r="N53" s="19"/>
      <c r="O53" s="14"/>
      <c r="P53" s="23"/>
      <c r="Q53" s="39"/>
    </row>
    <row r="54" spans="1:17" x14ac:dyDescent="0.25">
      <c r="A54" s="39"/>
      <c r="B54" s="33" t="s">
        <v>115</v>
      </c>
      <c r="C54" s="11" t="s">
        <v>118</v>
      </c>
      <c r="D54" s="97"/>
      <c r="E54" s="107"/>
      <c r="F54" s="110"/>
      <c r="G54" s="3"/>
      <c r="H54" s="11"/>
      <c r="I54" s="11"/>
      <c r="J54" s="4"/>
      <c r="K54" s="3" t="s">
        <v>121</v>
      </c>
      <c r="L54" s="18">
        <v>3.73</v>
      </c>
      <c r="M54" s="3"/>
      <c r="N54" s="19"/>
      <c r="O54" s="14"/>
      <c r="P54" s="23"/>
      <c r="Q54" s="39"/>
    </row>
    <row r="55" spans="1:17" x14ac:dyDescent="0.25">
      <c r="A55" s="81"/>
      <c r="B55" s="35"/>
      <c r="C55" s="13"/>
      <c r="D55" s="105"/>
      <c r="E55" s="108"/>
      <c r="F55" s="111"/>
      <c r="G55" s="8"/>
      <c r="H55" s="13"/>
      <c r="I55" s="13"/>
      <c r="J55" s="42"/>
      <c r="K55" s="8"/>
      <c r="L55" s="17"/>
      <c r="M55" s="8"/>
      <c r="N55" s="21"/>
      <c r="O55" s="1"/>
      <c r="P55" s="24"/>
      <c r="Q55" s="44">
        <f>SUM(F52,J52:J55,L52:L55,N52:N55,P52:P55)</f>
        <v>125.28</v>
      </c>
    </row>
    <row r="56" spans="1:17" x14ac:dyDescent="0.25">
      <c r="A56" s="80">
        <v>44399</v>
      </c>
      <c r="B56" s="37" t="s">
        <v>122</v>
      </c>
      <c r="C56" s="10" t="s">
        <v>68</v>
      </c>
      <c r="D56" s="96">
        <v>9</v>
      </c>
      <c r="E56" s="99">
        <v>59</v>
      </c>
      <c r="F56" s="112">
        <f>E56</f>
        <v>59</v>
      </c>
      <c r="G56" s="6" t="s">
        <v>147</v>
      </c>
      <c r="H56" s="10"/>
      <c r="I56" s="10"/>
      <c r="J56" s="49">
        <v>1.2</v>
      </c>
      <c r="K56" s="6" t="s">
        <v>130</v>
      </c>
      <c r="L56" s="45">
        <v>3.89</v>
      </c>
      <c r="M56" s="6"/>
      <c r="N56" s="20"/>
      <c r="O56" s="40"/>
      <c r="P56" s="22"/>
      <c r="Q56" s="38"/>
    </row>
    <row r="57" spans="1:17" x14ac:dyDescent="0.25">
      <c r="A57" s="39"/>
      <c r="B57" s="33" t="s">
        <v>123</v>
      </c>
      <c r="C57" s="11" t="s">
        <v>59</v>
      </c>
      <c r="D57" s="97"/>
      <c r="E57" s="100"/>
      <c r="F57" s="113"/>
      <c r="G57" s="3"/>
      <c r="H57" s="11"/>
      <c r="I57" s="11"/>
      <c r="J57" s="4"/>
      <c r="K57" s="3" t="s">
        <v>131</v>
      </c>
      <c r="L57" s="18">
        <f>25.4+2.6</f>
        <v>28</v>
      </c>
      <c r="M57" s="3"/>
      <c r="N57" s="19"/>
      <c r="O57" s="14"/>
      <c r="P57" s="23"/>
      <c r="Q57" s="39"/>
    </row>
    <row r="58" spans="1:17" x14ac:dyDescent="0.25">
      <c r="A58" s="39"/>
      <c r="B58" s="33" t="s">
        <v>124</v>
      </c>
      <c r="C58" s="11" t="s">
        <v>58</v>
      </c>
      <c r="D58" s="97"/>
      <c r="E58" s="100"/>
      <c r="F58" s="113"/>
      <c r="G58" s="3"/>
      <c r="H58" s="11"/>
      <c r="I58" s="11"/>
      <c r="J58" s="4"/>
      <c r="K58" s="3"/>
      <c r="L58" s="18"/>
      <c r="M58" s="3"/>
      <c r="N58" s="19"/>
      <c r="O58" s="14"/>
      <c r="P58" s="23"/>
      <c r="Q58" s="39"/>
    </row>
    <row r="59" spans="1:17" x14ac:dyDescent="0.25">
      <c r="A59" s="81"/>
      <c r="B59" s="35" t="s">
        <v>125</v>
      </c>
      <c r="C59" s="13"/>
      <c r="D59" s="105"/>
      <c r="E59" s="47">
        <v>1.6</v>
      </c>
      <c r="F59" s="48">
        <f>E59</f>
        <v>1.6</v>
      </c>
      <c r="G59" s="8"/>
      <c r="H59" s="13"/>
      <c r="I59" s="13"/>
      <c r="J59" s="42"/>
      <c r="K59" s="8"/>
      <c r="L59" s="17"/>
      <c r="M59" s="8"/>
      <c r="N59" s="21"/>
      <c r="O59" s="1"/>
      <c r="P59" s="24"/>
      <c r="Q59" s="44">
        <f>SUM(F56:F59,J56:J59,L56:L59,N56:N59,P56:P59)</f>
        <v>93.69</v>
      </c>
    </row>
    <row r="60" spans="1:17" x14ac:dyDescent="0.25">
      <c r="A60" s="80">
        <v>44400</v>
      </c>
      <c r="B60" s="37" t="s">
        <v>122</v>
      </c>
      <c r="C60" s="10" t="s">
        <v>68</v>
      </c>
      <c r="D60" s="96">
        <v>9</v>
      </c>
      <c r="E60" s="99">
        <v>59</v>
      </c>
      <c r="F60" s="112">
        <f>E60</f>
        <v>59</v>
      </c>
      <c r="G60" s="6" t="s">
        <v>135</v>
      </c>
      <c r="H60" s="10"/>
      <c r="I60" s="10"/>
      <c r="J60" s="60">
        <v>3</v>
      </c>
      <c r="K60" s="6" t="s">
        <v>137</v>
      </c>
      <c r="L60" s="45">
        <v>3.65</v>
      </c>
      <c r="M60" s="6"/>
      <c r="N60" s="20"/>
      <c r="O60" s="40" t="s">
        <v>139</v>
      </c>
      <c r="P60" s="22">
        <v>7</v>
      </c>
      <c r="Q60" s="38"/>
    </row>
    <row r="61" spans="1:17" x14ac:dyDescent="0.25">
      <c r="A61" s="39"/>
      <c r="B61" s="33" t="s">
        <v>123</v>
      </c>
      <c r="C61" s="11" t="s">
        <v>59</v>
      </c>
      <c r="D61" s="97"/>
      <c r="E61" s="100"/>
      <c r="F61" s="113"/>
      <c r="G61" s="3" t="s">
        <v>136</v>
      </c>
      <c r="H61" s="11"/>
      <c r="I61" s="11"/>
      <c r="J61" s="61">
        <v>3</v>
      </c>
      <c r="K61" s="3" t="s">
        <v>138</v>
      </c>
      <c r="L61" s="18">
        <f>2.5+3+3</f>
        <v>8.5</v>
      </c>
      <c r="M61" s="3"/>
      <c r="N61" s="19"/>
      <c r="O61" s="14"/>
      <c r="P61" s="23"/>
      <c r="Q61" s="39"/>
    </row>
    <row r="62" spans="1:17" x14ac:dyDescent="0.25">
      <c r="A62" s="39"/>
      <c r="B62" s="33" t="s">
        <v>124</v>
      </c>
      <c r="C62" s="11" t="s">
        <v>58</v>
      </c>
      <c r="D62" s="97"/>
      <c r="E62" s="100"/>
      <c r="F62" s="113"/>
      <c r="G62" s="2" t="s">
        <v>147</v>
      </c>
      <c r="H62" s="11"/>
      <c r="I62" s="11"/>
      <c r="J62" s="9">
        <v>1.2</v>
      </c>
      <c r="K62" s="3" t="s">
        <v>131</v>
      </c>
      <c r="L62" s="18">
        <f>23+3</f>
        <v>26</v>
      </c>
      <c r="M62" s="3"/>
      <c r="N62" s="19"/>
      <c r="O62" s="14"/>
      <c r="P62" s="23"/>
      <c r="Q62" s="39"/>
    </row>
    <row r="63" spans="1:17" x14ac:dyDescent="0.25">
      <c r="A63" s="81"/>
      <c r="B63" s="35" t="s">
        <v>125</v>
      </c>
      <c r="C63" s="13"/>
      <c r="D63" s="105"/>
      <c r="E63" s="47">
        <v>1.6</v>
      </c>
      <c r="F63" s="48">
        <f>E63</f>
        <v>1.6</v>
      </c>
      <c r="G63" s="8"/>
      <c r="H63" s="13"/>
      <c r="I63" s="13"/>
      <c r="J63" s="42"/>
      <c r="K63" s="8" t="s">
        <v>130</v>
      </c>
      <c r="L63" s="46">
        <v>6.24</v>
      </c>
      <c r="M63" s="8"/>
      <c r="N63" s="21"/>
      <c r="O63" s="1"/>
      <c r="P63" s="24"/>
      <c r="Q63" s="44">
        <f>SUM(F60:F63,J60:J63,L60:L63,N60:N63,P60:P63)</f>
        <v>119.19</v>
      </c>
    </row>
    <row r="64" spans="1:17" x14ac:dyDescent="0.25">
      <c r="A64" s="80">
        <v>44401</v>
      </c>
      <c r="B64" s="37" t="s">
        <v>126</v>
      </c>
      <c r="C64" s="10" t="s">
        <v>142</v>
      </c>
      <c r="D64" s="96">
        <v>7</v>
      </c>
      <c r="E64" s="99">
        <v>47.2</v>
      </c>
      <c r="F64" s="102">
        <f>E64</f>
        <v>47.2</v>
      </c>
      <c r="G64" s="6" t="s">
        <v>140</v>
      </c>
      <c r="H64" s="69">
        <v>39.32</v>
      </c>
      <c r="I64" s="69">
        <v>1.4019999999999999</v>
      </c>
      <c r="J64" s="60">
        <v>55.13</v>
      </c>
      <c r="K64" s="6" t="s">
        <v>141</v>
      </c>
      <c r="L64" s="62">
        <v>14.3</v>
      </c>
      <c r="M64" s="6"/>
      <c r="N64" s="20"/>
      <c r="O64" s="40"/>
      <c r="P64" s="22"/>
      <c r="Q64" s="38"/>
    </row>
    <row r="65" spans="1:17" x14ac:dyDescent="0.25">
      <c r="A65" s="39"/>
      <c r="B65" s="33" t="s">
        <v>127</v>
      </c>
      <c r="C65" s="11" t="s">
        <v>143</v>
      </c>
      <c r="D65" s="97"/>
      <c r="E65" s="100"/>
      <c r="F65" s="103"/>
      <c r="G65" s="3" t="s">
        <v>149</v>
      </c>
      <c r="H65" s="11"/>
      <c r="I65" s="11"/>
      <c r="J65" s="9">
        <v>2.4</v>
      </c>
      <c r="K65" s="3" t="s">
        <v>145</v>
      </c>
      <c r="L65" s="64">
        <v>19.86</v>
      </c>
      <c r="M65" s="3"/>
      <c r="N65" s="19"/>
      <c r="O65" s="14"/>
      <c r="P65" s="23"/>
      <c r="Q65" s="39"/>
    </row>
    <row r="66" spans="1:17" x14ac:dyDescent="0.25">
      <c r="A66" s="39"/>
      <c r="B66" s="33" t="s">
        <v>128</v>
      </c>
      <c r="C66" s="11" t="s">
        <v>144</v>
      </c>
      <c r="D66" s="97"/>
      <c r="E66" s="100"/>
      <c r="F66" s="103"/>
      <c r="G66" s="3"/>
      <c r="H66" s="11"/>
      <c r="I66" s="11"/>
      <c r="J66" s="4"/>
      <c r="K66" s="3"/>
      <c r="L66" s="18"/>
      <c r="M66" s="3"/>
      <c r="N66" s="19"/>
      <c r="O66" s="14"/>
      <c r="P66" s="23"/>
      <c r="Q66" s="39"/>
    </row>
    <row r="67" spans="1:17" x14ac:dyDescent="0.25">
      <c r="A67" s="81"/>
      <c r="B67" s="35" t="s">
        <v>129</v>
      </c>
      <c r="C67" s="13"/>
      <c r="D67" s="105"/>
      <c r="E67" s="114"/>
      <c r="F67" s="115"/>
      <c r="G67" s="8"/>
      <c r="H67" s="13"/>
      <c r="I67" s="13"/>
      <c r="J67" s="42"/>
      <c r="K67" s="8"/>
      <c r="L67" s="17"/>
      <c r="M67" s="8"/>
      <c r="N67" s="21"/>
      <c r="O67" s="1"/>
      <c r="P67" s="24"/>
      <c r="Q67" s="44">
        <f>SUM(F64,J64:J67,L64:L67,N64:N67,P64:P67)</f>
        <v>138.89000000000001</v>
      </c>
    </row>
    <row r="68" spans="1:17" x14ac:dyDescent="0.25">
      <c r="A68" s="80">
        <v>44402</v>
      </c>
      <c r="B68" s="37"/>
      <c r="C68" s="10"/>
      <c r="D68" s="96"/>
      <c r="E68" s="99"/>
      <c r="F68" s="102"/>
      <c r="G68" s="6" t="s">
        <v>151</v>
      </c>
      <c r="H68" s="10"/>
      <c r="I68" s="10"/>
      <c r="J68" s="60">
        <v>22.5</v>
      </c>
      <c r="K68" s="6"/>
      <c r="L68" s="15"/>
      <c r="M68" s="6"/>
      <c r="N68" s="20"/>
      <c r="O68" s="40"/>
      <c r="P68" s="22"/>
      <c r="Q68" s="38"/>
    </row>
    <row r="69" spans="1:17" x14ac:dyDescent="0.25">
      <c r="A69" s="34"/>
      <c r="B69" s="33"/>
      <c r="C69" s="11"/>
      <c r="D69" s="97"/>
      <c r="E69" s="100"/>
      <c r="F69" s="103"/>
      <c r="G69" s="3" t="s">
        <v>152</v>
      </c>
      <c r="H69" s="11"/>
      <c r="I69" s="11"/>
      <c r="J69" s="61">
        <v>3.2</v>
      </c>
      <c r="K69" s="3"/>
      <c r="L69" s="43"/>
      <c r="M69" s="3"/>
      <c r="N69" s="19"/>
      <c r="O69" s="14"/>
      <c r="P69" s="23"/>
      <c r="Q69" s="39"/>
    </row>
    <row r="70" spans="1:17" x14ac:dyDescent="0.25">
      <c r="A70" s="34"/>
      <c r="B70" s="33"/>
      <c r="C70" s="11"/>
      <c r="D70" s="97"/>
      <c r="E70" s="100"/>
      <c r="F70" s="103"/>
      <c r="G70" s="3" t="s">
        <v>153</v>
      </c>
      <c r="H70" s="11"/>
      <c r="I70" s="11"/>
      <c r="J70" s="61">
        <v>2.2999999999999998</v>
      </c>
      <c r="K70" s="3"/>
      <c r="L70" s="43"/>
      <c r="M70" s="3"/>
      <c r="N70" s="19"/>
      <c r="O70" s="14"/>
      <c r="P70" s="23"/>
      <c r="Q70" s="39"/>
    </row>
    <row r="71" spans="1:17" x14ac:dyDescent="0.25">
      <c r="A71" s="34"/>
      <c r="B71" s="33"/>
      <c r="C71" s="11"/>
      <c r="D71" s="97"/>
      <c r="E71" s="100"/>
      <c r="F71" s="103"/>
      <c r="G71" s="3" t="s">
        <v>154</v>
      </c>
      <c r="H71" s="67">
        <v>55.25</v>
      </c>
      <c r="I71" s="67">
        <v>1.238</v>
      </c>
      <c r="J71" s="61">
        <f>H71*I71</f>
        <v>68.399500000000003</v>
      </c>
      <c r="K71" s="3"/>
      <c r="L71" s="43"/>
      <c r="M71" s="3"/>
      <c r="N71" s="19"/>
      <c r="O71" s="14"/>
      <c r="P71" s="23"/>
      <c r="Q71" s="39"/>
    </row>
    <row r="72" spans="1:17" x14ac:dyDescent="0.25">
      <c r="A72" s="34"/>
      <c r="B72" s="33"/>
      <c r="C72" s="11"/>
      <c r="D72" s="97"/>
      <c r="E72" s="100"/>
      <c r="F72" s="103"/>
      <c r="G72" s="3" t="s">
        <v>150</v>
      </c>
      <c r="H72" s="11"/>
      <c r="I72" s="11"/>
      <c r="J72" s="61">
        <v>39</v>
      </c>
      <c r="K72" s="3"/>
      <c r="L72" s="18"/>
      <c r="M72" s="3"/>
      <c r="N72" s="19"/>
      <c r="O72" s="14"/>
      <c r="P72" s="23"/>
      <c r="Q72" s="39"/>
    </row>
    <row r="73" spans="1:17" ht="15.75" thickBot="1" x14ac:dyDescent="0.3">
      <c r="A73" s="78"/>
      <c r="B73" s="52"/>
      <c r="C73" s="53"/>
      <c r="D73" s="98"/>
      <c r="E73" s="101"/>
      <c r="F73" s="104"/>
      <c r="G73" s="54" t="s">
        <v>155</v>
      </c>
      <c r="H73" s="70">
        <v>18.53</v>
      </c>
      <c r="I73" s="70">
        <v>1.359</v>
      </c>
      <c r="J73" s="71">
        <f>H73*I73</f>
        <v>25.182270000000003</v>
      </c>
      <c r="K73" s="54"/>
      <c r="L73" s="55"/>
      <c r="M73" s="54"/>
      <c r="N73" s="56"/>
      <c r="O73" s="57"/>
      <c r="P73" s="58"/>
      <c r="Q73" s="59">
        <f>SUM(F68,J68:J73,L68:L73,N68:N73,P68:P73)</f>
        <v>160.58177000000001</v>
      </c>
    </row>
    <row r="74" spans="1:17" ht="18.75" x14ac:dyDescent="0.3">
      <c r="B74" t="s">
        <v>170</v>
      </c>
      <c r="F74" s="51">
        <f>SUM(F4:F73)</f>
        <v>859.7700000000001</v>
      </c>
      <c r="J74" s="51">
        <f>SUM(J4:J73)</f>
        <v>785.35702000000003</v>
      </c>
      <c r="L74" s="51">
        <f>SUM(L4:L73)</f>
        <v>606.14999999999986</v>
      </c>
      <c r="N74" s="51">
        <f>SUM(N4:N71)</f>
        <v>115.4</v>
      </c>
      <c r="P74" s="51">
        <f>SUM(P8:P66)</f>
        <v>72.699999999999989</v>
      </c>
      <c r="Q74" s="93">
        <f>SUM(Q4:Q73)</f>
        <v>2439.3770199999999</v>
      </c>
    </row>
    <row r="75" spans="1:17" x14ac:dyDescent="0.25">
      <c r="Q75" s="50"/>
    </row>
    <row r="76" spans="1:17" x14ac:dyDescent="0.25">
      <c r="F76" s="73"/>
      <c r="G76" t="s">
        <v>160</v>
      </c>
      <c r="H76" s="85">
        <f>SUM(F64,F60,F56,F40:F47,F16:F35,F8,J4:J5,J10:J11,J20,J22,J33:J35,L9,L17,L20,L24:L25,L32,N12,P16)</f>
        <v>866.26</v>
      </c>
      <c r="J76" s="50"/>
    </row>
    <row r="77" spans="1:17" x14ac:dyDescent="0.25">
      <c r="F77" s="74"/>
      <c r="G77" s="75" t="s">
        <v>159</v>
      </c>
      <c r="H77" s="86">
        <f>SUM(F48:F55,F36,F12,F4,J6,J12:J16,J21,J28,J32,J40:J48,J60:J61,J64,J68:J73,L64:L65,P52,L49:L52,L44:L45,N44,N36,L40,L37:L38,L35,L28,L22,N16:N20,P17,L12,J8,L8)</f>
        <v>1301.6470200000001</v>
      </c>
      <c r="J77" s="50"/>
      <c r="L77" s="50"/>
      <c r="M77" s="50"/>
    </row>
    <row r="78" spans="1:17" x14ac:dyDescent="0.25">
      <c r="F78" s="82"/>
      <c r="G78" s="83" t="s">
        <v>156</v>
      </c>
      <c r="H78" s="84">
        <f>SUM(F59,F63,J65,J62,J56,J9,L16,L18,L21,L34,L36,L39,L41,P28,L48,L53,L54,L56,L57,N52,L60:L63,P60,P8,P24,L27,L33,J17)</f>
        <v>255.76999999999998</v>
      </c>
      <c r="I78" s="89" t="s">
        <v>157</v>
      </c>
      <c r="J78" s="89">
        <f>256.48</f>
        <v>256.48</v>
      </c>
      <c r="K78" s="89" t="s">
        <v>158</v>
      </c>
      <c r="L78" s="50"/>
    </row>
    <row r="79" spans="1:17" x14ac:dyDescent="0.25">
      <c r="F79" s="87"/>
      <c r="G79" s="87"/>
      <c r="H79" s="88">
        <f>SUM(H76:H78)</f>
        <v>2423.6770200000001</v>
      </c>
      <c r="I79" s="87"/>
    </row>
  </sheetData>
  <mergeCells count="52">
    <mergeCell ref="D48:D51"/>
    <mergeCell ref="E48:E51"/>
    <mergeCell ref="F48:F51"/>
    <mergeCell ref="D40:D43"/>
    <mergeCell ref="E40:E43"/>
    <mergeCell ref="F40:F43"/>
    <mergeCell ref="D44:D47"/>
    <mergeCell ref="E44:E47"/>
    <mergeCell ref="F44:F47"/>
    <mergeCell ref="D36:D39"/>
    <mergeCell ref="E36:E39"/>
    <mergeCell ref="F36:F39"/>
    <mergeCell ref="D32:D35"/>
    <mergeCell ref="E32:E35"/>
    <mergeCell ref="F32:F35"/>
    <mergeCell ref="D4:D7"/>
    <mergeCell ref="E4:E7"/>
    <mergeCell ref="F4:F7"/>
    <mergeCell ref="D8:D11"/>
    <mergeCell ref="E8:E11"/>
    <mergeCell ref="F8:F11"/>
    <mergeCell ref="D12:D15"/>
    <mergeCell ref="E12:E15"/>
    <mergeCell ref="F12:F15"/>
    <mergeCell ref="D28:D31"/>
    <mergeCell ref="E28:E31"/>
    <mergeCell ref="F28:F31"/>
    <mergeCell ref="D16:D19"/>
    <mergeCell ref="E16:E19"/>
    <mergeCell ref="F16:F19"/>
    <mergeCell ref="D24:D27"/>
    <mergeCell ref="E24:E27"/>
    <mergeCell ref="F24:F27"/>
    <mergeCell ref="D20:D23"/>
    <mergeCell ref="E20:E23"/>
    <mergeCell ref="F20:F23"/>
    <mergeCell ref="A1:Q1"/>
    <mergeCell ref="D68:D73"/>
    <mergeCell ref="E68:E73"/>
    <mergeCell ref="F68:F73"/>
    <mergeCell ref="D52:D55"/>
    <mergeCell ref="E52:E55"/>
    <mergeCell ref="F52:F55"/>
    <mergeCell ref="D56:D59"/>
    <mergeCell ref="E56:E58"/>
    <mergeCell ref="F56:F58"/>
    <mergeCell ref="D60:D63"/>
    <mergeCell ref="D64:D67"/>
    <mergeCell ref="E64:E67"/>
    <mergeCell ref="F64:F67"/>
    <mergeCell ref="E60:E62"/>
    <mergeCell ref="F60:F62"/>
  </mergeCells>
  <pageMargins left="0.7" right="0.7" top="0.78740157499999996" bottom="0.78740157499999996" header="0.3" footer="0.3"/>
  <pageSetup paperSize="9" orientation="portrait" verticalDpi="300" r:id="rId1"/>
  <headerFooter>
    <oddHeader>&amp;L&amp;"Arial"&amp;8&amp;K000000CONFIDENTIAL&amp;1#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workbookViewId="0">
      <selection activeCell="B23" sqref="B23"/>
    </sheetView>
  </sheetViews>
  <sheetFormatPr baseColWidth="10" defaultRowHeight="15" x14ac:dyDescent="0.25"/>
  <cols>
    <col min="3" max="3" width="13.28515625" bestFit="1" customWidth="1"/>
    <col min="4" max="4" width="30.28515625" bestFit="1" customWidth="1"/>
  </cols>
  <sheetData>
    <row r="3" spans="1:4" x14ac:dyDescent="0.25">
      <c r="A3" t="s">
        <v>165</v>
      </c>
      <c r="B3" t="s">
        <v>166</v>
      </c>
      <c r="C3" t="s">
        <v>167</v>
      </c>
      <c r="D3" t="s">
        <v>168</v>
      </c>
    </row>
    <row r="4" spans="1:4" x14ac:dyDescent="0.25">
      <c r="A4" s="92">
        <v>272679</v>
      </c>
      <c r="B4" s="92">
        <v>277736</v>
      </c>
      <c r="C4" s="92">
        <f>SUM(Ausgaben!H4:H73)</f>
        <v>420.46000000000004</v>
      </c>
      <c r="D4" s="51">
        <f>C4/(B4-A4)*100</f>
        <v>8.3144156614593641</v>
      </c>
    </row>
    <row r="6" spans="1:4" x14ac:dyDescent="0.25">
      <c r="A6" t="s">
        <v>169</v>
      </c>
      <c r="B6" s="50">
        <f>Ausgaben!F74</f>
        <v>859.7700000000001</v>
      </c>
      <c r="C6" s="14" t="s">
        <v>169</v>
      </c>
      <c r="D6" s="92">
        <v>859.77</v>
      </c>
    </row>
    <row r="7" spans="1:4" x14ac:dyDescent="0.25">
      <c r="A7" t="s">
        <v>176</v>
      </c>
      <c r="B7" s="50">
        <f>SUM(Ausgaben!J4:J5,Ausgaben!J8:J11,Ausgaben!J16,Ausgaben!J20,Ausgaben!J22,Ausgaben!J33:J35,Ausgaben!J44,Ausgaben!J68:J70,Ausgaben!J72)</f>
        <v>187.7</v>
      </c>
      <c r="C7" s="118" t="s">
        <v>171</v>
      </c>
      <c r="D7" s="119">
        <f>SUM(B7:B10)</f>
        <v>785.35701999999992</v>
      </c>
    </row>
    <row r="8" spans="1:4" x14ac:dyDescent="0.25">
      <c r="A8" t="s">
        <v>177</v>
      </c>
      <c r="B8" s="50">
        <f>SUM(Ausgaben!J6,Ausgaben!J13,Ausgaben!J28,Ausgaben!J41,Ausgaben!J48,Ausgaben!J64,Ausgaben!J71,Ausgaben!J73)</f>
        <v>554.65701999999999</v>
      </c>
      <c r="C8" s="118"/>
      <c r="D8" s="120"/>
    </row>
    <row r="9" spans="1:4" x14ac:dyDescent="0.25">
      <c r="A9" t="s">
        <v>178</v>
      </c>
      <c r="B9" s="50">
        <f>SUM(Ausgaben!J12,Ausgaben!J17,Ausgaben!J21,Ausgaben!J32,Ausgaben!J40,Ausgaben!J56,Ausgaben!J62,Ausgaben!J65)</f>
        <v>37.000000000000007</v>
      </c>
      <c r="C9" s="118"/>
      <c r="D9" s="120"/>
    </row>
    <row r="10" spans="1:4" x14ac:dyDescent="0.25">
      <c r="A10" t="s">
        <v>179</v>
      </c>
      <c r="B10" s="50">
        <f>SUM(Ausgaben!J60:J61)</f>
        <v>6</v>
      </c>
      <c r="C10" s="118"/>
      <c r="D10" s="120"/>
    </row>
    <row r="11" spans="1:4" x14ac:dyDescent="0.25">
      <c r="A11" t="s">
        <v>181</v>
      </c>
      <c r="B11" s="50">
        <f>SUM(Ausgaben!L9,Ausgaben!L16,Ausgaben!L22,Ausgaben!L24:L25,Ausgaben!L28,Ausgaben!L35,Ausgaben!L38:L39,Ausgaben!L45,Ausgaben!L49,Ausgaben!L52,Ausgaben!L54,Ausgaben!L56,Ausgaben!L60:L61,Ausgaben!L63:L65)</f>
        <v>198.75</v>
      </c>
      <c r="C11" s="118" t="s">
        <v>174</v>
      </c>
      <c r="D11" s="119">
        <f>SUM(B11:B12)</f>
        <v>606.15</v>
      </c>
    </row>
    <row r="12" spans="1:4" x14ac:dyDescent="0.25">
      <c r="A12" t="s">
        <v>182</v>
      </c>
      <c r="B12" s="50">
        <f>SUM(Ausgaben!L8,Ausgaben!L12,Ausgaben!L17:L18,Ausgaben!L20:L21,Ausgaben!L26:L27,Ausgaben!L32:L33,Ausgaben!L34,Ausgaben!L36:L37,Ausgaben!L40:L41,Ausgaben!L44,Ausgaben!L48,Ausgaben!L53,Ausgaben!L57,Ausgaben!L62)</f>
        <v>407.4</v>
      </c>
      <c r="C12" s="118"/>
      <c r="D12" s="120"/>
    </row>
    <row r="13" spans="1:4" x14ac:dyDescent="0.25">
      <c r="A13" t="s">
        <v>175</v>
      </c>
      <c r="B13" s="50">
        <f>Ausgaben!N74</f>
        <v>115.4</v>
      </c>
      <c r="C13" s="14" t="s">
        <v>175</v>
      </c>
      <c r="D13" s="92">
        <v>115.4</v>
      </c>
    </row>
    <row r="14" spans="1:4" x14ac:dyDescent="0.25">
      <c r="A14" t="s">
        <v>37</v>
      </c>
      <c r="B14" s="50">
        <f>Ausgaben!P74</f>
        <v>72.699999999999989</v>
      </c>
      <c r="C14" s="14" t="s">
        <v>37</v>
      </c>
      <c r="D14" s="92">
        <v>72.7</v>
      </c>
    </row>
  </sheetData>
  <mergeCells count="4">
    <mergeCell ref="C7:C10"/>
    <mergeCell ref="D7:D10"/>
    <mergeCell ref="C11:C12"/>
    <mergeCell ref="D11:D12"/>
  </mergeCells>
  <pageMargins left="0.7" right="0.7" top="0.78740157499999996" bottom="0.78740157499999996" header="0.3" footer="0.3"/>
  <pageSetup paperSize="9" orientation="portrait" verticalDpi="0" r:id="rId1"/>
  <headerFooter>
    <oddHeader>&amp;L&amp;"Arial"&amp;8&amp;K000000CONFIDENTIAL&amp;1#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Ausgaben</vt:lpstr>
      <vt:lpstr>Statistik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Kenn, Christoph (I/EE-62)</dc:creator>
  <cp:lastModifiedBy>Christoph</cp:lastModifiedBy>
  <dcterms:created xsi:type="dcterms:W3CDTF">2021-07-10T19:41:53Z</dcterms:created>
  <dcterms:modified xsi:type="dcterms:W3CDTF">2021-08-01T10:57:36Z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c10b4e6-7234-48d8-a078-14b3d226e457_Enabled">
    <vt:lpwstr>True</vt:lpwstr>
  </property>
  <property fmtid="{D5CDD505-2E9C-101B-9397-08002B2CF9AE}" pid="3" name="MSIP_Label_ac10b4e6-7234-48d8-a078-14b3d226e457_SiteId">
    <vt:lpwstr>2882be50-2012-4d88-ac86-544124e120c8</vt:lpwstr>
  </property>
  <property fmtid="{D5CDD505-2E9C-101B-9397-08002B2CF9AE}" pid="4" name="MSIP_Label_ac10b4e6-7234-48d8-a078-14b3d226e457_Owner">
    <vt:lpwstr>Christoph.Kenn@AUDI.DE</vt:lpwstr>
  </property>
  <property fmtid="{D5CDD505-2E9C-101B-9397-08002B2CF9AE}" pid="5" name="MSIP_Label_ac10b4e6-7234-48d8-a078-14b3d226e457_SetDate">
    <vt:lpwstr>2021-07-10T19:51:52.5565069Z</vt:lpwstr>
  </property>
  <property fmtid="{D5CDD505-2E9C-101B-9397-08002B2CF9AE}" pid="6" name="MSIP_Label_ac10b4e6-7234-48d8-a078-14b3d226e457_Name">
    <vt:lpwstr>Confidential</vt:lpwstr>
  </property>
  <property fmtid="{D5CDD505-2E9C-101B-9397-08002B2CF9AE}" pid="7" name="MSIP_Label_ac10b4e6-7234-48d8-a078-14b3d226e457_Application">
    <vt:lpwstr>Microsoft Azure Information Protection</vt:lpwstr>
  </property>
  <property fmtid="{D5CDD505-2E9C-101B-9397-08002B2CF9AE}" pid="8" name="MSIP_Label_ac10b4e6-7234-48d8-a078-14b3d226e457_ActionId">
    <vt:lpwstr>fdbd17c3-1623-4f7e-b74f-5567924b1ab2</vt:lpwstr>
  </property>
  <property fmtid="{D5CDD505-2E9C-101B-9397-08002B2CF9AE}" pid="9" name="MSIP_Label_ac10b4e6-7234-48d8-a078-14b3d226e457_Extended_MSFT_Method">
    <vt:lpwstr>Automatic</vt:lpwstr>
  </property>
  <property fmtid="{D5CDD505-2E9C-101B-9397-08002B2CF9AE}" pid="10" name="Sensitivity">
    <vt:lpwstr>Confidential</vt:lpwstr>
  </property>
</Properties>
</file>